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aacmarchseptember2021disbursement\"/>
    </mc:Choice>
  </mc:AlternateContent>
  <xr:revisionPtr revIDLastSave="0" documentId="13_ncr:1_{B3ED7D96-59E9-4812-A44C-D264C439D472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MONTHENTRY" sheetId="8" state="hidden" r:id="rId1"/>
    <sheet name="Sum &amp; FG" sheetId="4" r:id="rId2"/>
    <sheet name="SG Details" sheetId="1" r:id="rId3"/>
    <sheet name="Ecology States" sheetId="12" r:id="rId4"/>
    <sheet name="Sum LGCs" sheetId="13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Details'!$A$1:$T$55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J45" i="13" l="1"/>
  <c r="I45" i="13"/>
  <c r="G45" i="13"/>
  <c r="F45" i="13"/>
  <c r="D45" i="13"/>
  <c r="H37" i="13"/>
  <c r="H32" i="13"/>
  <c r="H29" i="13"/>
  <c r="H28" i="13"/>
  <c r="H27" i="13"/>
  <c r="H44" i="13" s="1"/>
  <c r="K44" i="13" s="1"/>
  <c r="H13" i="13"/>
  <c r="H45" i="13" l="1"/>
  <c r="E43" i="13"/>
  <c r="K43" i="13" s="1"/>
  <c r="E42" i="13"/>
  <c r="K42" i="13" s="1"/>
  <c r="E41" i="13"/>
  <c r="K41" i="13" s="1"/>
  <c r="E40" i="13"/>
  <c r="K40" i="13" s="1"/>
  <c r="E39" i="13"/>
  <c r="K39" i="13" s="1"/>
  <c r="E38" i="13"/>
  <c r="K38" i="13" s="1"/>
  <c r="E37" i="13"/>
  <c r="K37" i="13" s="1"/>
  <c r="E36" i="13"/>
  <c r="K36" i="13" s="1"/>
  <c r="E35" i="13"/>
  <c r="K35" i="13" s="1"/>
  <c r="E34" i="13"/>
  <c r="K34" i="13" s="1"/>
  <c r="E33" i="13"/>
  <c r="K33" i="13" s="1"/>
  <c r="E32" i="13"/>
  <c r="K32" i="13" s="1"/>
  <c r="E31" i="13"/>
  <c r="K31" i="13" s="1"/>
  <c r="E30" i="13"/>
  <c r="K30" i="13" s="1"/>
  <c r="E29" i="13"/>
  <c r="K29" i="13" s="1"/>
  <c r="E28" i="13"/>
  <c r="K28" i="13" s="1"/>
  <c r="E27" i="13"/>
  <c r="K27" i="13" s="1"/>
  <c r="E26" i="13"/>
  <c r="K26" i="13" s="1"/>
  <c r="E25" i="13"/>
  <c r="K25" i="13" s="1"/>
  <c r="E24" i="13"/>
  <c r="K24" i="13" s="1"/>
  <c r="E23" i="13"/>
  <c r="K23" i="13" s="1"/>
  <c r="E22" i="13"/>
  <c r="K22" i="13" s="1"/>
  <c r="E21" i="13"/>
  <c r="K21" i="13" s="1"/>
  <c r="E20" i="13"/>
  <c r="K20" i="13" s="1"/>
  <c r="E19" i="13"/>
  <c r="K19" i="13" s="1"/>
  <c r="E18" i="13"/>
  <c r="K18" i="13" s="1"/>
  <c r="E17" i="13"/>
  <c r="K17" i="13" s="1"/>
  <c r="E16" i="13"/>
  <c r="K16" i="13" s="1"/>
  <c r="E15" i="13"/>
  <c r="K15" i="13" s="1"/>
  <c r="E14" i="13"/>
  <c r="K14" i="13" s="1"/>
  <c r="E13" i="13"/>
  <c r="K13" i="13" s="1"/>
  <c r="E12" i="13"/>
  <c r="K12" i="13" s="1"/>
  <c r="E11" i="13"/>
  <c r="K11" i="13" s="1"/>
  <c r="E10" i="13"/>
  <c r="K10" i="13" s="1"/>
  <c r="E9" i="13"/>
  <c r="K9" i="13" s="1"/>
  <c r="E8" i="13"/>
  <c r="K8" i="13" s="1"/>
  <c r="E7" i="13"/>
  <c r="E45" i="13" l="1"/>
  <c r="K7" i="13"/>
  <c r="K45" i="13" s="1"/>
  <c r="P48" i="1" l="1"/>
  <c r="O48" i="1"/>
  <c r="N48" i="1"/>
  <c r="L48" i="1"/>
  <c r="K48" i="1"/>
  <c r="E48" i="1"/>
  <c r="D48" i="1"/>
  <c r="S47" i="1"/>
  <c r="R47" i="1"/>
  <c r="H11" i="4"/>
  <c r="G48" i="1"/>
  <c r="H48" i="1"/>
  <c r="M48" i="1"/>
  <c r="I23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J28" i="1" s="1"/>
  <c r="S28" i="1" s="1"/>
  <c r="I27" i="1"/>
  <c r="I26" i="1"/>
  <c r="I25" i="1"/>
  <c r="I24" i="1"/>
  <c r="I22" i="1"/>
  <c r="I21" i="1"/>
  <c r="I20" i="1"/>
  <c r="J20" i="1" s="1"/>
  <c r="S20" i="1" s="1"/>
  <c r="I19" i="1"/>
  <c r="I18" i="1"/>
  <c r="I17" i="1"/>
  <c r="I16" i="1"/>
  <c r="I15" i="1"/>
  <c r="I14" i="1"/>
  <c r="I13" i="1"/>
  <c r="I12" i="1"/>
  <c r="I11" i="1"/>
  <c r="I10" i="1"/>
  <c r="F10" i="1"/>
  <c r="R10" i="1" s="1"/>
  <c r="H8" i="4"/>
  <c r="H9" i="4"/>
  <c r="H10" i="4"/>
  <c r="H12" i="4"/>
  <c r="H13" i="4"/>
  <c r="H14" i="4"/>
  <c r="H15" i="4"/>
  <c r="H16" i="4"/>
  <c r="H17" i="4"/>
  <c r="H18" i="4"/>
  <c r="H19" i="4"/>
  <c r="H20" i="4"/>
  <c r="C21" i="4"/>
  <c r="G21" i="4"/>
  <c r="G13" i="12"/>
  <c r="G27" i="12"/>
  <c r="G28" i="12"/>
  <c r="K28" i="12" s="1"/>
  <c r="G29" i="12"/>
  <c r="K29" i="12" s="1"/>
  <c r="G32" i="12"/>
  <c r="K32" i="12" s="1"/>
  <c r="G37" i="12"/>
  <c r="K37" i="12" s="1"/>
  <c r="F37" i="12"/>
  <c r="F32" i="12"/>
  <c r="F29" i="12"/>
  <c r="F28" i="12"/>
  <c r="F27" i="12"/>
  <c r="F13" i="12"/>
  <c r="E37" i="12"/>
  <c r="D37" i="12"/>
  <c r="E32" i="12"/>
  <c r="E29" i="12"/>
  <c r="E28" i="12"/>
  <c r="E27" i="12"/>
  <c r="E13" i="12"/>
  <c r="D13" i="12"/>
  <c r="D29" i="12"/>
  <c r="D27" i="12"/>
  <c r="D28" i="12"/>
  <c r="D32" i="12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0" i="1"/>
  <c r="Q11" i="1"/>
  <c r="Q12" i="1"/>
  <c r="Q13" i="1"/>
  <c r="Q14" i="1"/>
  <c r="H42" i="12"/>
  <c r="H41" i="12"/>
  <c r="H40" i="12"/>
  <c r="H39" i="12"/>
  <c r="H38" i="12"/>
  <c r="H36" i="12"/>
  <c r="H35" i="12"/>
  <c r="H34" i="12"/>
  <c r="H33" i="12"/>
  <c r="H31" i="12"/>
  <c r="H30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F21" i="4"/>
  <c r="E21" i="4"/>
  <c r="D21" i="4"/>
  <c r="C34" i="4"/>
  <c r="E29" i="4"/>
  <c r="J29" i="4" s="1"/>
  <c r="E30" i="4"/>
  <c r="J30" i="4" s="1"/>
  <c r="E31" i="4"/>
  <c r="J31" i="4" s="1"/>
  <c r="E32" i="4"/>
  <c r="J32" i="4" s="1"/>
  <c r="E33" i="4"/>
  <c r="J33" i="4"/>
  <c r="I34" i="4"/>
  <c r="D34" i="4"/>
  <c r="H34" i="4"/>
  <c r="G34" i="4"/>
  <c r="F34" i="4"/>
  <c r="F5" i="8"/>
  <c r="F45" i="1"/>
  <c r="R45" i="1" s="1"/>
  <c r="F41" i="1"/>
  <c r="R41" i="1" s="1"/>
  <c r="F39" i="1"/>
  <c r="J39" i="1" s="1"/>
  <c r="F38" i="1"/>
  <c r="F36" i="1"/>
  <c r="F34" i="1"/>
  <c r="F33" i="1"/>
  <c r="R33" i="1" s="1"/>
  <c r="F32" i="1"/>
  <c r="J32" i="1" s="1"/>
  <c r="S32" i="1" s="1"/>
  <c r="R32" i="1"/>
  <c r="F31" i="1"/>
  <c r="J31" i="1" s="1"/>
  <c r="F30" i="1"/>
  <c r="F28" i="1"/>
  <c r="F23" i="1"/>
  <c r="R23" i="1" s="1"/>
  <c r="F22" i="1"/>
  <c r="J22" i="1" s="1"/>
  <c r="S22" i="1" s="1"/>
  <c r="F19" i="1"/>
  <c r="F18" i="1"/>
  <c r="R18" i="1" s="1"/>
  <c r="F17" i="1"/>
  <c r="R17" i="1" s="1"/>
  <c r="F14" i="1"/>
  <c r="F13" i="1"/>
  <c r="B1" i="8"/>
  <c r="C1" i="8"/>
  <c r="F20" i="1"/>
  <c r="F11" i="1"/>
  <c r="F25" i="1"/>
  <c r="J25" i="1" s="1"/>
  <c r="S25" i="1" s="1"/>
  <c r="F27" i="1"/>
  <c r="R27" i="1" s="1"/>
  <c r="F29" i="1"/>
  <c r="F35" i="1"/>
  <c r="R35" i="1" s="1"/>
  <c r="F43" i="1"/>
  <c r="J43" i="1" s="1"/>
  <c r="S43" i="1" s="1"/>
  <c r="F42" i="1"/>
  <c r="R42" i="1" s="1"/>
  <c r="F12" i="1"/>
  <c r="R12" i="1" s="1"/>
  <c r="F16" i="1"/>
  <c r="R16" i="1" s="1"/>
  <c r="F21" i="1"/>
  <c r="R21" i="1" s="1"/>
  <c r="F15" i="1"/>
  <c r="J15" i="1" s="1"/>
  <c r="F24" i="1"/>
  <c r="R24" i="1" s="1"/>
  <c r="F26" i="1"/>
  <c r="J26" i="1" s="1"/>
  <c r="S26" i="1" s="1"/>
  <c r="F37" i="1"/>
  <c r="F40" i="1"/>
  <c r="J40" i="1" s="1"/>
  <c r="F44" i="1"/>
  <c r="R44" i="1" s="1"/>
  <c r="J33" i="1"/>
  <c r="S33" i="1" s="1"/>
  <c r="R20" i="1"/>
  <c r="R19" i="1"/>
  <c r="J34" i="1"/>
  <c r="S34" i="1" s="1"/>
  <c r="R34" i="1"/>
  <c r="J14" i="1"/>
  <c r="S14" i="1" s="1"/>
  <c r="R14" i="1"/>
  <c r="R38" i="1"/>
  <c r="R31" i="1"/>
  <c r="R22" i="1"/>
  <c r="R29" i="1"/>
  <c r="R37" i="1"/>
  <c r="R28" i="1"/>
  <c r="R36" i="1"/>
  <c r="J13" i="1"/>
  <c r="S13" i="1" s="1"/>
  <c r="R13" i="1"/>
  <c r="J41" i="1"/>
  <c r="E34" i="4" l="1"/>
  <c r="R25" i="1"/>
  <c r="J11" i="1"/>
  <c r="S11" i="1" s="1"/>
  <c r="H37" i="12"/>
  <c r="J38" i="1"/>
  <c r="S38" i="1" s="1"/>
  <c r="J21" i="1"/>
  <c r="J27" i="1"/>
  <c r="S27" i="1" s="1"/>
  <c r="S40" i="1"/>
  <c r="H29" i="12"/>
  <c r="J37" i="1"/>
  <c r="J12" i="1"/>
  <c r="S12" i="1" s="1"/>
  <c r="J29" i="1"/>
  <c r="S29" i="1" s="1"/>
  <c r="S39" i="1"/>
  <c r="H28" i="12"/>
  <c r="G44" i="12"/>
  <c r="J16" i="1"/>
  <c r="S16" i="1" s="1"/>
  <c r="J45" i="1"/>
  <c r="S45" i="1" s="1"/>
  <c r="S15" i="1"/>
  <c r="S31" i="1"/>
  <c r="K13" i="12"/>
  <c r="G43" i="12"/>
  <c r="H27" i="12"/>
  <c r="J23" i="1"/>
  <c r="S23" i="1" s="1"/>
  <c r="R40" i="1"/>
  <c r="R15" i="1"/>
  <c r="E43" i="12"/>
  <c r="F43" i="12"/>
  <c r="F44" i="12" s="1"/>
  <c r="J30" i="1"/>
  <c r="S30" i="1" s="1"/>
  <c r="S21" i="1"/>
  <c r="J34" i="4"/>
  <c r="S41" i="1"/>
  <c r="R11" i="1"/>
  <c r="J17" i="1"/>
  <c r="S17" i="1" s="1"/>
  <c r="E44" i="12"/>
  <c r="H21" i="4"/>
  <c r="S37" i="1"/>
  <c r="Q48" i="1"/>
  <c r="J18" i="1"/>
  <c r="S18" i="1" s="1"/>
  <c r="J35" i="1"/>
  <c r="S35" i="1" s="1"/>
  <c r="J19" i="1"/>
  <c r="S19" i="1" s="1"/>
  <c r="J36" i="1"/>
  <c r="S36" i="1" s="1"/>
  <c r="J44" i="1"/>
  <c r="S44" i="1" s="1"/>
  <c r="K27" i="12"/>
  <c r="J46" i="1"/>
  <c r="R46" i="1"/>
  <c r="S46" i="1"/>
  <c r="I48" i="1"/>
  <c r="G5" i="8"/>
  <c r="B5" i="8" s="1"/>
  <c r="B8" i="8" s="1"/>
  <c r="F16" i="8"/>
  <c r="F9" i="8"/>
  <c r="F8" i="8"/>
  <c r="F19" i="8"/>
  <c r="F18" i="8"/>
  <c r="F10" i="8"/>
  <c r="F14" i="8"/>
  <c r="F15" i="8"/>
  <c r="F17" i="8"/>
  <c r="F11" i="8"/>
  <c r="F13" i="8"/>
  <c r="F12" i="8"/>
  <c r="B11" i="8"/>
  <c r="B19" i="8"/>
  <c r="B18" i="8"/>
  <c r="B13" i="8"/>
  <c r="B15" i="8"/>
  <c r="F6" i="8" s="1"/>
  <c r="B14" i="8"/>
  <c r="B12" i="8"/>
  <c r="B17" i="8"/>
  <c r="R30" i="1"/>
  <c r="J42" i="1"/>
  <c r="S42" i="1" s="1"/>
  <c r="F48" i="1"/>
  <c r="J24" i="1"/>
  <c r="S24" i="1" s="1"/>
  <c r="J10" i="1"/>
  <c r="R26" i="1"/>
  <c r="H32" i="12"/>
  <c r="R39" i="1"/>
  <c r="R43" i="1"/>
  <c r="D44" i="12"/>
  <c r="B16" i="8" l="1"/>
  <c r="H43" i="12"/>
  <c r="H44" i="12" s="1"/>
  <c r="B9" i="8"/>
  <c r="B10" i="8"/>
  <c r="R48" i="1"/>
  <c r="C5" i="8"/>
  <c r="B6" i="8" s="1"/>
  <c r="J48" i="1"/>
  <c r="S10" i="1"/>
  <c r="S48" i="1" s="1"/>
</calcChain>
</file>

<file path=xl/sharedStrings.xml><?xml version="1.0" encoding="utf-8"?>
<sst xmlns="http://schemas.openxmlformats.org/spreadsheetml/2006/main" count="293" uniqueCount="217">
  <si>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</si>
  <si>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</si>
  <si>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</si>
  <si>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</si>
  <si>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</si>
  <si>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</si>
  <si>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</si>
  <si>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Gross Statutory Allocation</t>
  </si>
  <si>
    <t>6=4+5</t>
  </si>
  <si>
    <t>10=6-(7+8+9)</t>
  </si>
  <si>
    <t>Sub-total</t>
  </si>
  <si>
    <t>Contractual Obligation (ISPO)</t>
  </si>
  <si>
    <t>Net Statutory Allocation</t>
  </si>
  <si>
    <t>Total Net Amount</t>
  </si>
  <si>
    <t>Statutory</t>
  </si>
  <si>
    <t>Total (States/LGCs)</t>
  </si>
  <si>
    <t>Total</t>
  </si>
  <si>
    <t>13% Derivation Fund</t>
  </si>
  <si>
    <t>FGN (CRF Account)</t>
  </si>
  <si>
    <t>Share of Derivation &amp; Ecology</t>
  </si>
  <si>
    <t>Beneficiaries</t>
  </si>
  <si>
    <t>Table I</t>
  </si>
  <si>
    <t>Table II</t>
  </si>
  <si>
    <t>FGN (see Table II)</t>
  </si>
  <si>
    <t>Table III</t>
  </si>
  <si>
    <t>Note :</t>
  </si>
  <si>
    <t>Deductions</t>
  </si>
  <si>
    <t>VAT</t>
  </si>
  <si>
    <t>Total Gross Amount</t>
  </si>
  <si>
    <t>State (see Table III)</t>
  </si>
  <si>
    <t>LGCs (see Table IV)</t>
  </si>
  <si>
    <t>……………………………………………………………</t>
  </si>
  <si>
    <t>Federal Ministry of Finance, Abuja</t>
  </si>
  <si>
    <t>Abuja. Nigeria.</t>
  </si>
  <si>
    <t>13% Share of Derivation (Net)</t>
  </si>
  <si>
    <t>Payment for Fertilizer, State Water Supply Project, State Agricultural Project and National Fadama Project</t>
  </si>
  <si>
    <t>15=6+11+12+13+14</t>
  </si>
  <si>
    <t>16=10+11+12+13+14</t>
  </si>
  <si>
    <t>Check!!</t>
  </si>
  <si>
    <t>Cost of Collection - NCS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</si>
  <si>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</si>
  <si>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</si>
  <si>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</si>
  <si>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</si>
  <si>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</si>
  <si>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</si>
  <si>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</si>
  <si>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</si>
  <si>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</si>
  <si>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</si>
  <si>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</si>
  <si>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</si>
  <si>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</si>
  <si>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</si>
  <si>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</si>
  <si>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</si>
  <si>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</si>
  <si>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</si>
  <si>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</si>
  <si>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</si>
  <si>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</si>
  <si>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</si>
  <si>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</si>
  <si>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</si>
  <si>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</si>
  <si>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</si>
  <si>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</si>
  <si>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</si>
  <si>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</si>
  <si>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</si>
  <si>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</si>
  <si>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</si>
  <si>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</si>
  <si>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</si>
  <si>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</si>
  <si>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</si>
  <si>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Gross VAT Allocation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</si>
  <si>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</si>
  <si>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</si>
  <si>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</si>
  <si>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</si>
  <si>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</si>
  <si>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</si>
  <si>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</si>
  <si>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</si>
  <si>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</si>
  <si>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</si>
  <si>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</si>
  <si>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</si>
  <si>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</si>
  <si>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</si>
  <si>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</si>
  <si>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</si>
  <si>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</si>
  <si>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Less DeductionS</t>
  </si>
  <si>
    <t>Other Deductions   (see Note)</t>
  </si>
  <si>
    <t>5=3-4-5</t>
  </si>
  <si>
    <t>Distribution of Excess Bank Charges for the Month</t>
  </si>
  <si>
    <r>
      <t xml:space="preserve">Source: </t>
    </r>
    <r>
      <rPr>
        <b/>
        <sz val="18"/>
        <rFont val="Times New Roman"/>
        <family val="1"/>
      </rPr>
      <t>Office of the Accountant-General of the Federation</t>
    </r>
  </si>
  <si>
    <r>
      <t xml:space="preserve">The above information is also available on the Federal Ministry of Finance website </t>
    </r>
    <r>
      <rPr>
        <b/>
        <u/>
        <sz val="18"/>
        <rFont val="Times New Roman"/>
        <family val="1"/>
      </rPr>
      <t>www.fmf.gov.ng</t>
    </r>
    <r>
      <rPr>
        <b/>
        <sz val="18"/>
        <rFont val="Times New Roman"/>
        <family val="1"/>
      </rPr>
      <t xml:space="preserve"> and Office of Accountant-General of the Federation website </t>
    </r>
    <r>
      <rPr>
        <b/>
        <u/>
        <sz val="18"/>
        <rFont val="Times New Roman"/>
        <family val="1"/>
      </rPr>
      <t>www.oagf.gov.ng</t>
    </r>
    <r>
      <rPr>
        <b/>
        <sz val="18"/>
        <rFont val="Times New Roman"/>
        <family val="1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8"/>
        <rFont val="Times New Roman"/>
        <family val="1"/>
      </rPr>
      <t>www.budgetoffice.gov.ng</t>
    </r>
    <r>
      <rPr>
        <b/>
        <sz val="18"/>
        <rFont val="Times New Roman"/>
        <family val="1"/>
      </rPr>
      <t xml:space="preserve"> also contains information about the Budget.</t>
    </r>
  </si>
  <si>
    <t>Office  of the Accountant General of the Federation</t>
  </si>
  <si>
    <t>Cost of Collection - FIRS</t>
  </si>
  <si>
    <t>FIRS Refund</t>
  </si>
  <si>
    <t>Refund of Cost of Collection</t>
  </si>
  <si>
    <t>Police Trust Fund</t>
  </si>
  <si>
    <t>North East Development Commission</t>
  </si>
  <si>
    <t xml:space="preserve"> Cost of Collections - DPR</t>
  </si>
  <si>
    <t xml:space="preserve">                                                                                                                          Federal Ministry of Finance, Abuja</t>
  </si>
  <si>
    <t>Distribution of Exchange Gain Allocation for the Month</t>
  </si>
  <si>
    <t>Summary of Gross Revenue Allocation by Federation Account Allocation Committee for the Month of April, 2021 Shared in May, 2021</t>
  </si>
  <si>
    <t>₦</t>
  </si>
  <si>
    <t>Distribution of ₦20 Billion from Non-Oil Excess Account</t>
  </si>
  <si>
    <t>Distribution of Revenue Allocation to FGN by Federation Account Allocation Committee for the Month of April, 2021 Shared in May, 2021</t>
  </si>
  <si>
    <t>10=5+6+7+8+9</t>
  </si>
  <si>
    <t>Distribution of Revenue Allocation to State Governments by Federation Account Allocation Committee for the month of April, 2021 Shared in May, 2021</t>
  </si>
  <si>
    <t>13% Derivation Refund to Oil Producing States</t>
  </si>
  <si>
    <t>Refund to States on WHT and Stamp Duties on Individuals</t>
  </si>
  <si>
    <t>Soku Derivation</t>
  </si>
  <si>
    <r>
      <t xml:space="preserve">*   Other Deductions cover; </t>
    </r>
    <r>
      <rPr>
        <b/>
        <sz val="10"/>
        <rFont val="Times New Roman"/>
        <family val="1"/>
      </rPr>
      <t>National Water Rehabilitation Projects, National Agricultural Technology Support Programme,</t>
    </r>
  </si>
  <si>
    <r>
      <t xml:space="preserve">Source: </t>
    </r>
    <r>
      <rPr>
        <b/>
        <sz val="16"/>
        <rFont val="Times New Roman"/>
        <family val="1"/>
      </rPr>
      <t>Office of the Accountant-General of the Federation</t>
    </r>
  </si>
  <si>
    <t>Deduction</t>
  </si>
  <si>
    <t>Net VAT Allocation</t>
  </si>
  <si>
    <t>Office of the Accountant-General of the Federation</t>
  </si>
  <si>
    <t>Federal Ministry of Finance, Abuja.</t>
  </si>
  <si>
    <t>8(4+5+6+7+8)</t>
  </si>
  <si>
    <t xml:space="preserve"> Statutory Allocation     (Ecology)</t>
  </si>
  <si>
    <t>Exchange Gain Allocation(Ecology)</t>
  </si>
  <si>
    <t>Total Net Amount (Ecology)</t>
  </si>
  <si>
    <t>ABIA STATE</t>
  </si>
  <si>
    <t>ADAMAWA STATE</t>
  </si>
  <si>
    <t>AKWA IBOM STATE</t>
  </si>
  <si>
    <t>ANAMBRA STATE</t>
  </si>
  <si>
    <t>BAUCHI STATE</t>
  </si>
  <si>
    <t>BAYELSA STATE</t>
  </si>
  <si>
    <t>BENUE STATE</t>
  </si>
  <si>
    <t>BORNO STATE</t>
  </si>
  <si>
    <t>CROSS RIVER STATE</t>
  </si>
  <si>
    <t>DELTA STATE</t>
  </si>
  <si>
    <t>EBONYI STATE</t>
  </si>
  <si>
    <t>EDO STATE</t>
  </si>
  <si>
    <t>EKITI STATE</t>
  </si>
  <si>
    <t>ENUGU STATE</t>
  </si>
  <si>
    <t>GOMBE STATE</t>
  </si>
  <si>
    <t>IMO STATE</t>
  </si>
  <si>
    <t>JIGAWA STATE</t>
  </si>
  <si>
    <t>KADUNA STATE</t>
  </si>
  <si>
    <t>KANO STATE</t>
  </si>
  <si>
    <t>KATSINA STATE</t>
  </si>
  <si>
    <t>KEBBI STATE</t>
  </si>
  <si>
    <t>KOGI STATE</t>
  </si>
  <si>
    <t>KWARA STATE</t>
  </si>
  <si>
    <t>LAGOS STATE</t>
  </si>
  <si>
    <t>NASSARAWA STATE</t>
  </si>
  <si>
    <t>NIGER STATE</t>
  </si>
  <si>
    <t>OGUN STATE</t>
  </si>
  <si>
    <t>ONDO STATE</t>
  </si>
  <si>
    <t>OSUN STATE</t>
  </si>
  <si>
    <t>OYO STATE</t>
  </si>
  <si>
    <t>PLATEAU STATE</t>
  </si>
  <si>
    <t>RIVERS STATE</t>
  </si>
  <si>
    <t>SOKOTO STATE</t>
  </si>
  <si>
    <t>TARABA STATE</t>
  </si>
  <si>
    <t>YOBE STATE</t>
  </si>
  <si>
    <t>ZAMFARA STATE</t>
  </si>
  <si>
    <t>HYPPADEC</t>
  </si>
  <si>
    <t>Total States</t>
  </si>
  <si>
    <t>Distribution of ₦ 20 Billion from Non- Oil Excess Account for the Month (Ecology)</t>
  </si>
  <si>
    <t>Excess Bank Charges Allocation(Ecology)</t>
  </si>
  <si>
    <t>Ecology</t>
  </si>
  <si>
    <t>Details of Distribution of Ecological Funds Allocation to States by Federation Account Allocation Committee for the month of April, 2021 Shared in May, 2021</t>
  </si>
  <si>
    <t>Hon. Minister of Finance, Budget and National Planning.</t>
  </si>
  <si>
    <t>Dr. (Mrs.) Zainab S. Ahmed</t>
  </si>
  <si>
    <t xml:space="preserve"> Statutory Allocation</t>
  </si>
  <si>
    <t>EXCHANGE GAIN</t>
  </si>
  <si>
    <t>TOTAL ECOLOGY FUNDS</t>
  </si>
  <si>
    <t>Distribution of =N=20 Billion from Non Oil</t>
  </si>
  <si>
    <t>Value Added Tax</t>
  </si>
  <si>
    <t>ABIA LGCS</t>
  </si>
  <si>
    <t>ADAMAWA LGCS</t>
  </si>
  <si>
    <t>AKWA IBOM LGCS</t>
  </si>
  <si>
    <t>ANAMBRA LGCS</t>
  </si>
  <si>
    <t>BAUCHI LGCS</t>
  </si>
  <si>
    <t>BAYELSA LGCS</t>
  </si>
  <si>
    <t>BENUE LGCS</t>
  </si>
  <si>
    <t>BORNO LGCS</t>
  </si>
  <si>
    <t>CROSS RIVER LGCS</t>
  </si>
  <si>
    <t>DELTA LGCS</t>
  </si>
  <si>
    <t>EBONYI LGCS</t>
  </si>
  <si>
    <t>EDO LGCS</t>
  </si>
  <si>
    <t>EKITI LGCS</t>
  </si>
  <si>
    <t>ENUGU LGCS</t>
  </si>
  <si>
    <t>GOMBE LGCS</t>
  </si>
  <si>
    <t>IMO LGCS</t>
  </si>
  <si>
    <t>JIGAWA LGCS</t>
  </si>
  <si>
    <t>KADUNA LGCS</t>
  </si>
  <si>
    <t>KANO LGCS</t>
  </si>
  <si>
    <t>KATSINA LGCS</t>
  </si>
  <si>
    <t>KEBBI LGCS</t>
  </si>
  <si>
    <t>KOGI LGCS</t>
  </si>
  <si>
    <t>KWARA LGCS</t>
  </si>
  <si>
    <t>LAGOS LGCS</t>
  </si>
  <si>
    <t>NASSARAWA LGCS</t>
  </si>
  <si>
    <t>NIGER LGCS</t>
  </si>
  <si>
    <t>OGUN LGCS</t>
  </si>
  <si>
    <t>ONDO LGCS</t>
  </si>
  <si>
    <t>OSUN LGCS</t>
  </si>
  <si>
    <t>OYO LGCS</t>
  </si>
  <si>
    <t>PLATEAU LGCS</t>
  </si>
  <si>
    <t>RIVERS LGCS</t>
  </si>
  <si>
    <t>SOKOTO LGCS</t>
  </si>
  <si>
    <t>TARABA LGCS</t>
  </si>
  <si>
    <t>YOBE LGCS</t>
  </si>
  <si>
    <t>ZAMFARA LGCS</t>
  </si>
  <si>
    <t>FCT-ABUJA LGCS</t>
  </si>
  <si>
    <t>Total LGCs</t>
  </si>
  <si>
    <t>Summary of Distribution of Revenue Allocation to Local Government Councils by Federation Account Allocation Committee for the month of  April, 2021 Shared inMay, 2021</t>
  </si>
  <si>
    <t>10(3-4+5+6+7+8+9)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</si>
</sst>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2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u/>
      <sz val="18"/>
      <name val="Times New Roman"/>
      <family val="1"/>
    </font>
    <font>
      <sz val="18"/>
      <color indexed="8"/>
      <name val="Times New Roman"/>
      <family val="1"/>
    </font>
    <font>
      <b/>
      <sz val="24"/>
      <name val="Times New Roman"/>
      <family val="1"/>
    </font>
    <font>
      <sz val="2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i/>
      <sz val="22"/>
      <name val="Times New Roman"/>
      <family val="1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4"/>
      <name val="Arial"/>
      <family val="2"/>
    </font>
    <font>
      <b/>
      <sz val="18"/>
      <color theme="9" tint="-0.499984740745262"/>
      <name val="Times New Roman"/>
      <family val="1"/>
    </font>
    <font>
      <sz val="18"/>
      <color theme="9" tint="-0.499984740745262"/>
      <name val="Times New Roman"/>
      <family val="1"/>
    </font>
    <font>
      <b/>
      <sz val="10"/>
      <color theme="9" tint="-0.499984740745262"/>
      <name val="Times New Roman"/>
      <family val="1"/>
    </font>
    <font>
      <b/>
      <sz val="12"/>
      <color theme="9" tint="-0.499984740745262"/>
      <name val="Times New Roman"/>
      <family val="1"/>
    </font>
    <font>
      <sz val="10"/>
      <color theme="9" tint="-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5" fillId="0" borderId="0" xfId="0" applyFont="1" applyAlignment="1"/>
    <xf numFmtId="0" fontId="3" fillId="0" borderId="0" xfId="0" applyFont="1" applyBorder="1" applyAlignment="1"/>
    <xf numFmtId="0" fontId="0" fillId="0" borderId="0" xfId="0" applyAlignment="1"/>
    <xf numFmtId="164" fontId="0" fillId="0" borderId="0" xfId="0" applyNumberFormat="1"/>
    <xf numFmtId="0" fontId="0" fillId="2" borderId="0" xfId="0" applyFill="1" applyProtection="1">
      <protection locked="0"/>
    </xf>
    <xf numFmtId="17" fontId="0" fillId="0" borderId="0" xfId="0" applyNumberFormat="1"/>
    <xf numFmtId="17" fontId="5" fillId="2" borderId="0" xfId="0" applyNumberFormat="1" applyFont="1" applyFill="1" applyAlignment="1"/>
    <xf numFmtId="2" fontId="0" fillId="0" borderId="0" xfId="0" applyNumberFormat="1"/>
    <xf numFmtId="0" fontId="6" fillId="0" borderId="0" xfId="0" applyFont="1" applyFill="1" applyBorder="1"/>
    <xf numFmtId="0" fontId="6" fillId="0" borderId="0" xfId="0" applyFont="1"/>
    <xf numFmtId="0" fontId="6" fillId="0" borderId="0" xfId="0" applyFont="1" applyAlignment="1"/>
    <xf numFmtId="0" fontId="8" fillId="0" borderId="0" xfId="0" applyFont="1" applyAlignment="1"/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/>
    <xf numFmtId="0" fontId="7" fillId="0" borderId="11" xfId="0" applyFont="1" applyBorder="1" applyAlignment="1"/>
    <xf numFmtId="0" fontId="6" fillId="0" borderId="0" xfId="0" applyFont="1" applyBorder="1"/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quotePrefix="1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6" fillId="0" borderId="2" xfId="0" applyFont="1" applyBorder="1"/>
    <xf numFmtId="43" fontId="7" fillId="0" borderId="6" xfId="1" applyFont="1" applyBorder="1" applyAlignment="1"/>
    <xf numFmtId="43" fontId="7" fillId="0" borderId="2" xfId="1" applyFont="1" applyBorder="1" applyAlignment="1"/>
    <xf numFmtId="43" fontId="7" fillId="0" borderId="0" xfId="1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 applyAlignment="1">
      <alignment wrapText="1"/>
    </xf>
    <xf numFmtId="43" fontId="7" fillId="0" borderId="12" xfId="1" applyFont="1" applyBorder="1" applyAlignment="1"/>
    <xf numFmtId="164" fontId="6" fillId="0" borderId="0" xfId="0" applyNumberFormat="1" applyFont="1" applyAlignment="1">
      <alignment horizontal="right"/>
    </xf>
    <xf numFmtId="43" fontId="7" fillId="0" borderId="0" xfId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6" fillId="0" borderId="2" xfId="0" applyFont="1" applyBorder="1" applyAlignment="1"/>
    <xf numFmtId="43" fontId="6" fillId="0" borderId="7" xfId="1" applyFont="1" applyBorder="1"/>
    <xf numFmtId="43" fontId="6" fillId="0" borderId="2" xfId="1" applyFont="1" applyBorder="1"/>
    <xf numFmtId="43" fontId="6" fillId="0" borderId="0" xfId="0" applyNumberFormat="1" applyFont="1"/>
    <xf numFmtId="0" fontId="7" fillId="0" borderId="6" xfId="0" applyFont="1" applyBorder="1" applyAlignment="1"/>
    <xf numFmtId="43" fontId="7" fillId="0" borderId="8" xfId="1" applyFont="1" applyBorder="1"/>
    <xf numFmtId="164" fontId="6" fillId="0" borderId="0" xfId="0" applyNumberFormat="1" applyFont="1"/>
    <xf numFmtId="0" fontId="7" fillId="0" borderId="0" xfId="0" applyFont="1"/>
    <xf numFmtId="0" fontId="7" fillId="0" borderId="4" xfId="0" applyFont="1" applyBorder="1" applyAlignment="1"/>
    <xf numFmtId="43" fontId="9" fillId="0" borderId="1" xfId="1" applyFont="1" applyFill="1" applyBorder="1" applyAlignment="1">
      <alignment horizontal="right" wrapText="1"/>
    </xf>
    <xf numFmtId="43" fontId="7" fillId="0" borderId="13" xfId="1" applyFont="1" applyBorder="1" applyAlignment="1"/>
    <xf numFmtId="43" fontId="7" fillId="0" borderId="15" xfId="1" applyFont="1" applyBorder="1" applyAlignment="1"/>
    <xf numFmtId="43" fontId="6" fillId="0" borderId="6" xfId="1" applyFont="1" applyBorder="1" applyAlignment="1"/>
    <xf numFmtId="43" fontId="6" fillId="0" borderId="15" xfId="1" applyFont="1" applyBorder="1" applyAlignment="1"/>
    <xf numFmtId="43" fontId="6" fillId="0" borderId="2" xfId="1" applyFont="1" applyBorder="1" applyAlignment="1"/>
    <xf numFmtId="43" fontId="6" fillId="3" borderId="6" xfId="1" applyFont="1" applyFill="1" applyBorder="1" applyAlignment="1"/>
    <xf numFmtId="0" fontId="6" fillId="0" borderId="2" xfId="0" applyFont="1" applyBorder="1" applyAlignment="1">
      <alignment horizontal="left" wrapText="1"/>
    </xf>
    <xf numFmtId="0" fontId="6" fillId="3" borderId="0" xfId="0" applyFont="1" applyFill="1"/>
    <xf numFmtId="0" fontId="7" fillId="0" borderId="2" xfId="0" quotePrefix="1" applyFont="1" applyBorder="1" applyAlignment="1">
      <alignment horizontal="center"/>
    </xf>
    <xf numFmtId="0" fontId="12" fillId="0" borderId="6" xfId="0" quotePrefix="1" applyFont="1" applyBorder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14" fillId="0" borderId="0" xfId="0" applyFont="1" applyBorder="1"/>
    <xf numFmtId="0" fontId="18" fillId="0" borderId="2" xfId="0" applyFont="1" applyBorder="1" applyAlignment="1">
      <alignment horizontal="center"/>
    </xf>
    <xf numFmtId="0" fontId="14" fillId="0" borderId="2" xfId="0" applyFont="1" applyBorder="1"/>
    <xf numFmtId="0" fontId="18" fillId="0" borderId="2" xfId="0" applyFont="1" applyBorder="1" applyAlignment="1">
      <alignment horizontal="center" wrapText="1"/>
    </xf>
    <xf numFmtId="39" fontId="14" fillId="0" borderId="2" xfId="0" applyNumberFormat="1" applyFont="1" applyBorder="1"/>
    <xf numFmtId="37" fontId="14" fillId="0" borderId="2" xfId="0" applyNumberFormat="1" applyFont="1" applyBorder="1" applyAlignment="1">
      <alignment horizontal="center"/>
    </xf>
    <xf numFmtId="43" fontId="14" fillId="0" borderId="2" xfId="1" applyFont="1" applyBorder="1"/>
    <xf numFmtId="43" fontId="14" fillId="0" borderId="2" xfId="0" applyNumberFormat="1" applyFont="1" applyBorder="1"/>
    <xf numFmtId="40" fontId="14" fillId="0" borderId="2" xfId="0" applyNumberFormat="1" applyFont="1" applyBorder="1"/>
    <xf numFmtId="43" fontId="18" fillId="0" borderId="2" xfId="0" applyNumberFormat="1" applyFont="1" applyBorder="1"/>
    <xf numFmtId="43" fontId="18" fillId="0" borderId="3" xfId="0" applyNumberFormat="1" applyFont="1" applyBorder="1"/>
    <xf numFmtId="43" fontId="14" fillId="0" borderId="3" xfId="1" applyFont="1" applyBorder="1"/>
    <xf numFmtId="0" fontId="14" fillId="0" borderId="2" xfId="0" applyFont="1" applyBorder="1" applyAlignment="1">
      <alignment horizontal="center"/>
    </xf>
    <xf numFmtId="43" fontId="14" fillId="0" borderId="4" xfId="0" applyNumberFormat="1" applyFont="1" applyBorder="1"/>
    <xf numFmtId="43" fontId="18" fillId="0" borderId="5" xfId="1" applyFont="1" applyBorder="1"/>
    <xf numFmtId="43" fontId="14" fillId="0" borderId="0" xfId="0" applyNumberFormat="1" applyFont="1"/>
    <xf numFmtId="164" fontId="14" fillId="0" borderId="0" xfId="0" applyNumberFormat="1" applyFont="1"/>
    <xf numFmtId="0" fontId="14" fillId="0" borderId="0" xfId="0" applyFont="1" applyAlignment="1">
      <alignment horizontal="right"/>
    </xf>
    <xf numFmtId="0" fontId="18" fillId="0" borderId="0" xfId="0" applyFont="1"/>
    <xf numFmtId="0" fontId="19" fillId="0" borderId="0" xfId="0" applyFont="1" applyFill="1" applyBorder="1"/>
    <xf numFmtId="165" fontId="23" fillId="0" borderId="2" xfId="1" applyNumberFormat="1" applyFont="1" applyBorder="1" applyAlignment="1">
      <alignment horizontal="left"/>
    </xf>
    <xf numFmtId="43" fontId="23" fillId="0" borderId="2" xfId="1" applyFont="1" applyBorder="1" applyAlignment="1">
      <alignment horizontal="left" vertical="top"/>
    </xf>
    <xf numFmtId="43" fontId="23" fillId="0" borderId="2" xfId="1" applyFont="1" applyBorder="1" applyAlignment="1">
      <alignment horizontal="center"/>
    </xf>
    <xf numFmtId="43" fontId="24" fillId="0" borderId="2" xfId="1" applyFont="1" applyBorder="1"/>
    <xf numFmtId="43" fontId="24" fillId="0" borderId="2" xfId="1" applyFont="1" applyBorder="1" applyAlignment="1">
      <alignment wrapText="1"/>
    </xf>
    <xf numFmtId="0" fontId="24" fillId="0" borderId="2" xfId="0" applyFont="1" applyBorder="1" applyAlignment="1">
      <alignment horizontal="center" wrapText="1"/>
    </xf>
    <xf numFmtId="43" fontId="24" fillId="0" borderId="2" xfId="1" applyFont="1" applyBorder="1" applyAlignment="1">
      <alignment horizontal="center" wrapText="1"/>
    </xf>
    <xf numFmtId="43" fontId="15" fillId="0" borderId="2" xfId="1" applyFont="1" applyBorder="1"/>
    <xf numFmtId="165" fontId="15" fillId="0" borderId="2" xfId="1" applyNumberFormat="1" applyFont="1" applyBorder="1" applyAlignment="1">
      <alignment horizontal="left"/>
    </xf>
    <xf numFmtId="43" fontId="15" fillId="0" borderId="2" xfId="1" applyFont="1" applyBorder="1" applyAlignment="1">
      <alignment horizontal="left"/>
    </xf>
    <xf numFmtId="165" fontId="15" fillId="0" borderId="2" xfId="1" applyNumberFormat="1" applyFont="1" applyBorder="1"/>
    <xf numFmtId="43" fontId="15" fillId="0" borderId="2" xfId="1" applyFont="1" applyBorder="1" applyAlignment="1">
      <alignment wrapText="1"/>
    </xf>
    <xf numFmtId="43" fontId="23" fillId="0" borderId="2" xfId="1" applyFont="1" applyBorder="1"/>
    <xf numFmtId="43" fontId="25" fillId="0" borderId="2" xfId="1" applyFont="1" applyBorder="1"/>
    <xf numFmtId="43" fontId="14" fillId="0" borderId="0" xfId="1" applyFont="1"/>
    <xf numFmtId="0" fontId="14" fillId="0" borderId="6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43" fontId="14" fillId="0" borderId="9" xfId="1" applyFont="1" applyBorder="1"/>
    <xf numFmtId="43" fontId="14" fillId="0" borderId="9" xfId="0" applyNumberFormat="1" applyFont="1" applyBorder="1"/>
    <xf numFmtId="40" fontId="14" fillId="0" borderId="9" xfId="0" applyNumberFormat="1" applyFont="1" applyBorder="1"/>
    <xf numFmtId="43" fontId="18" fillId="0" borderId="9" xfId="0" applyNumberFormat="1" applyFont="1" applyBorder="1"/>
    <xf numFmtId="43" fontId="18" fillId="0" borderId="11" xfId="0" applyNumberFormat="1" applyFont="1" applyBorder="1"/>
    <xf numFmtId="0" fontId="14" fillId="0" borderId="2" xfId="0" applyFont="1" applyBorder="1" applyAlignment="1"/>
    <xf numFmtId="43" fontId="0" fillId="0" borderId="0" xfId="0" applyNumberFormat="1"/>
    <xf numFmtId="43" fontId="7" fillId="0" borderId="0" xfId="0" applyNumberFormat="1" applyFont="1" applyAlignment="1">
      <alignment horizontal="right"/>
    </xf>
    <xf numFmtId="165" fontId="23" fillId="0" borderId="2" xfId="1" applyNumberFormat="1" applyFont="1" applyBorder="1" applyAlignment="1">
      <alignment horizontal="left" vertical="top"/>
    </xf>
    <xf numFmtId="43" fontId="24" fillId="0" borderId="2" xfId="1" applyFont="1" applyBorder="1" applyAlignment="1">
      <alignment horizontal="center"/>
    </xf>
    <xf numFmtId="0" fontId="26" fillId="0" borderId="2" xfId="0" applyFont="1" applyBorder="1" applyAlignment="1">
      <alignment horizontal="center" wrapText="1"/>
    </xf>
    <xf numFmtId="43" fontId="25" fillId="0" borderId="16" xfId="1" applyFont="1" applyBorder="1"/>
    <xf numFmtId="165" fontId="15" fillId="0" borderId="6" xfId="1" applyNumberFormat="1" applyFont="1" applyBorder="1" applyAlignment="1"/>
    <xf numFmtId="165" fontId="15" fillId="0" borderId="14" xfId="1" applyNumberFormat="1" applyFont="1" applyBorder="1" applyAlignment="1"/>
    <xf numFmtId="165" fontId="15" fillId="0" borderId="10" xfId="1" applyNumberFormat="1" applyFont="1" applyBorder="1" applyAlignment="1"/>
    <xf numFmtId="165" fontId="15" fillId="0" borderId="3" xfId="1" applyNumberFormat="1" applyFont="1" applyBorder="1" applyAlignment="1"/>
    <xf numFmtId="43" fontId="15" fillId="0" borderId="4" xfId="1" applyFont="1" applyBorder="1"/>
    <xf numFmtId="43" fontId="27" fillId="0" borderId="0" xfId="0" applyNumberFormat="1" applyFont="1"/>
    <xf numFmtId="0" fontId="28" fillId="0" borderId="6" xfId="0" applyFont="1" applyBorder="1" applyAlignment="1">
      <alignment horizontal="center" wrapText="1"/>
    </xf>
    <xf numFmtId="0" fontId="28" fillId="0" borderId="6" xfId="0" quotePrefix="1" applyFont="1" applyBorder="1" applyAlignment="1">
      <alignment horizontal="center"/>
    </xf>
    <xf numFmtId="43" fontId="29" fillId="0" borderId="7" xfId="1" applyFont="1" applyBorder="1"/>
    <xf numFmtId="43" fontId="28" fillId="0" borderId="8" xfId="1" applyFont="1" applyBorder="1"/>
    <xf numFmtId="43" fontId="29" fillId="0" borderId="6" xfId="1" applyFont="1" applyBorder="1" applyAlignment="1"/>
    <xf numFmtId="43" fontId="29" fillId="0" borderId="2" xfId="1" applyFont="1" applyBorder="1" applyAlignment="1"/>
    <xf numFmtId="43" fontId="29" fillId="3" borderId="6" xfId="1" applyFont="1" applyFill="1" applyBorder="1" applyAlignment="1"/>
    <xf numFmtId="43" fontId="28" fillId="0" borderId="6" xfId="1" applyFont="1" applyBorder="1" applyAlignment="1"/>
    <xf numFmtId="43" fontId="29" fillId="0" borderId="15" xfId="1" applyFont="1" applyBorder="1" applyAlignment="1"/>
    <xf numFmtId="43" fontId="28" fillId="0" borderId="15" xfId="1" applyFont="1" applyBorder="1" applyAlignment="1"/>
    <xf numFmtId="43" fontId="28" fillId="0" borderId="13" xfId="1" applyFont="1" applyBorder="1" applyAlignment="1"/>
    <xf numFmtId="43" fontId="28" fillId="0" borderId="2" xfId="1" applyFont="1" applyBorder="1" applyAlignment="1"/>
    <xf numFmtId="43" fontId="28" fillId="0" borderId="12" xfId="1" applyFont="1" applyBorder="1" applyAlignment="1"/>
    <xf numFmtId="0" fontId="31" fillId="0" borderId="6" xfId="0" quotePrefix="1" applyFont="1" applyBorder="1" applyAlignment="1">
      <alignment horizontal="center"/>
    </xf>
    <xf numFmtId="43" fontId="32" fillId="0" borderId="2" xfId="0" applyNumberFormat="1" applyFont="1" applyBorder="1"/>
    <xf numFmtId="43" fontId="32" fillId="0" borderId="9" xfId="0" applyNumberFormat="1" applyFont="1" applyBorder="1"/>
    <xf numFmtId="43" fontId="30" fillId="0" borderId="5" xfId="1" applyFon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0" fillId="0" borderId="4" xfId="0" applyFont="1" applyBorder="1" applyAlignment="1">
      <alignment horizontal="center" wrapText="1"/>
    </xf>
    <xf numFmtId="0" fontId="30" fillId="0" borderId="7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2" fillId="0" borderId="6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8" fillId="0" borderId="6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3" fontId="21" fillId="0" borderId="6" xfId="1" applyFont="1" applyBorder="1" applyAlignment="1">
      <alignment horizontal="center"/>
    </xf>
    <xf numFmtId="43" fontId="21" fillId="0" borderId="14" xfId="1" applyFont="1" applyBorder="1" applyAlignment="1">
      <alignment horizontal="center"/>
    </xf>
    <xf numFmtId="43" fontId="21" fillId="0" borderId="3" xfId="1" applyFont="1" applyBorder="1" applyAlignment="1">
      <alignment horizontal="center"/>
    </xf>
    <xf numFmtId="0" fontId="22" fillId="0" borderId="6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165" fontId="15" fillId="0" borderId="6" xfId="1" applyNumberFormat="1" applyFont="1" applyBorder="1" applyAlignment="1">
      <alignment horizontal="center"/>
    </xf>
    <xf numFmtId="165" fontId="15" fillId="0" borderId="14" xfId="1" applyNumberFormat="1" applyFont="1" applyBorder="1" applyAlignment="1">
      <alignment horizontal="center"/>
    </xf>
    <xf numFmtId="165" fontId="15" fillId="0" borderId="3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3.2" x14ac:dyDescent="0.25"/>
  <cols>
    <col min="2" max="2" width="23" bestFit="1" customWidth="1"/>
    <col min="6" max="6" width="24.5546875" customWidth="1"/>
  </cols>
  <sheetData>
    <row r="1" spans="1:8" ht="23.1" customHeight="1" x14ac:dyDescent="0.25">
      <c r="B1">
        <f ca="1">MONTH(NOW())</f>
        <v>2</v>
      </c>
      <c r="C1">
        <f ca="1">YEAR(NOW())</f>
        <v>2022</v>
      </c>
    </row>
    <row r="2" spans="1:8" ht="23.1" customHeight="1" x14ac:dyDescent="0.25"/>
    <row r="3" spans="1:8" ht="23.1" customHeight="1" x14ac:dyDescent="0.25">
      <c r="B3" t="s">
        <v>80</v>
      </c>
      <c r="F3" t="s">
        <v>81</v>
      </c>
    </row>
    <row r="4" spans="1:8" ht="23.1" customHeight="1" x14ac:dyDescent="0.25">
      <c r="B4" t="s">
        <v>77</v>
      </c>
      <c r="C4" t="s">
        <v>78</v>
      </c>
      <c r="D4" t="s">
        <v>79</v>
      </c>
      <c r="F4" t="s">
        <v>77</v>
      </c>
      <c r="G4" t="s">
        <v>78</v>
      </c>
      <c r="H4" t="s">
        <v>79</v>
      </c>
    </row>
    <row r="5" spans="1:8" ht="23.1" customHeight="1" x14ac:dyDescent="0.25">
      <c r="B5" s="5" t="e">
        <f>IF(G5=1,F5-1,F5)</f>
        <v>#REF!</v>
      </c>
      <c r="C5" s="5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4">
      <c r="B6" s="7" t="e">
        <f>LOOKUP(C5,A8:B19)</f>
        <v>#REF!</v>
      </c>
      <c r="F6" s="7" t="e">
        <f>IF(G5=1,LOOKUP(G5,E8:F19),LOOKUP(G5,A8:B19))</f>
        <v>#REF!</v>
      </c>
    </row>
    <row r="8" spans="1:8" x14ac:dyDescent="0.25">
      <c r="A8">
        <v>1</v>
      </c>
      <c r="B8" s="8" t="e">
        <f>D8&amp;"-"&amp;RIGHT(B$5,2)</f>
        <v>#REF!</v>
      </c>
      <c r="D8" s="6" t="s">
        <v>90</v>
      </c>
      <c r="E8">
        <v>1</v>
      </c>
      <c r="F8" s="8" t="e">
        <f>D8&amp;"-"&amp;RIGHT(F$5,2)</f>
        <v>#REF!</v>
      </c>
    </row>
    <row r="9" spans="1:8" x14ac:dyDescent="0.25">
      <c r="A9">
        <v>2</v>
      </c>
      <c r="B9" s="8" t="e">
        <f t="shared" ref="B9:B19" si="0">D9&amp;"-"&amp;RIGHT(B$5,2)</f>
        <v>#REF!</v>
      </c>
      <c r="D9" s="6" t="s">
        <v>91</v>
      </c>
      <c r="E9">
        <v>2</v>
      </c>
      <c r="F9" s="8" t="e">
        <f t="shared" ref="F9:F19" si="1">D9&amp;"-"&amp;RIGHT(F$5,2)</f>
        <v>#REF!</v>
      </c>
    </row>
    <row r="10" spans="1:8" x14ac:dyDescent="0.25">
      <c r="A10">
        <v>3</v>
      </c>
      <c r="B10" s="8" t="e">
        <f t="shared" si="0"/>
        <v>#REF!</v>
      </c>
      <c r="D10" s="6" t="s">
        <v>92</v>
      </c>
      <c r="E10">
        <v>3</v>
      </c>
      <c r="F10" s="8" t="e">
        <f t="shared" si="1"/>
        <v>#REF!</v>
      </c>
    </row>
    <row r="11" spans="1:8" x14ac:dyDescent="0.25">
      <c r="A11">
        <v>4</v>
      </c>
      <c r="B11" s="8" t="e">
        <f t="shared" si="0"/>
        <v>#REF!</v>
      </c>
      <c r="D11" s="6" t="s">
        <v>93</v>
      </c>
      <c r="E11">
        <v>4</v>
      </c>
      <c r="F11" s="8" t="e">
        <f t="shared" si="1"/>
        <v>#REF!</v>
      </c>
    </row>
    <row r="12" spans="1:8" x14ac:dyDescent="0.25">
      <c r="A12">
        <v>5</v>
      </c>
      <c r="B12" s="8" t="e">
        <f t="shared" si="0"/>
        <v>#REF!</v>
      </c>
      <c r="D12" s="6" t="s">
        <v>82</v>
      </c>
      <c r="E12">
        <v>5</v>
      </c>
      <c r="F12" s="8" t="e">
        <f t="shared" si="1"/>
        <v>#REF!</v>
      </c>
    </row>
    <row r="13" spans="1:8" x14ac:dyDescent="0.25">
      <c r="A13">
        <v>6</v>
      </c>
      <c r="B13" s="8" t="e">
        <f t="shared" si="0"/>
        <v>#REF!</v>
      </c>
      <c r="D13" s="6" t="s">
        <v>83</v>
      </c>
      <c r="E13">
        <v>6</v>
      </c>
      <c r="F13" s="8" t="e">
        <f t="shared" si="1"/>
        <v>#REF!</v>
      </c>
    </row>
    <row r="14" spans="1:8" x14ac:dyDescent="0.25">
      <c r="A14">
        <v>7</v>
      </c>
      <c r="B14" s="8" t="e">
        <f t="shared" si="0"/>
        <v>#REF!</v>
      </c>
      <c r="D14" s="6" t="s">
        <v>84</v>
      </c>
      <c r="E14">
        <v>7</v>
      </c>
      <c r="F14" s="8" t="e">
        <f t="shared" si="1"/>
        <v>#REF!</v>
      </c>
    </row>
    <row r="15" spans="1:8" x14ac:dyDescent="0.25">
      <c r="A15">
        <v>8</v>
      </c>
      <c r="B15" s="8" t="e">
        <f t="shared" si="0"/>
        <v>#REF!</v>
      </c>
      <c r="D15" s="6" t="s">
        <v>85</v>
      </c>
      <c r="E15">
        <v>8</v>
      </c>
      <c r="F15" s="8" t="e">
        <f t="shared" si="1"/>
        <v>#REF!</v>
      </c>
    </row>
    <row r="16" spans="1:8" x14ac:dyDescent="0.25">
      <c r="A16">
        <v>9</v>
      </c>
      <c r="B16" s="8" t="e">
        <f t="shared" si="0"/>
        <v>#REF!</v>
      </c>
      <c r="D16" s="6" t="s">
        <v>86</v>
      </c>
      <c r="E16">
        <v>9</v>
      </c>
      <c r="F16" s="8" t="e">
        <f t="shared" si="1"/>
        <v>#REF!</v>
      </c>
    </row>
    <row r="17" spans="1:6" x14ac:dyDescent="0.25">
      <c r="A17">
        <v>10</v>
      </c>
      <c r="B17" s="8" t="e">
        <f t="shared" si="0"/>
        <v>#REF!</v>
      </c>
      <c r="D17" s="6" t="s">
        <v>87</v>
      </c>
      <c r="E17">
        <v>10</v>
      </c>
      <c r="F17" s="8" t="e">
        <f t="shared" si="1"/>
        <v>#REF!</v>
      </c>
    </row>
    <row r="18" spans="1:6" x14ac:dyDescent="0.25">
      <c r="A18">
        <v>11</v>
      </c>
      <c r="B18" s="8" t="e">
        <f t="shared" si="0"/>
        <v>#REF!</v>
      </c>
      <c r="D18" s="6" t="s">
        <v>88</v>
      </c>
      <c r="E18">
        <v>11</v>
      </c>
      <c r="F18" s="8" t="e">
        <f t="shared" si="1"/>
        <v>#REF!</v>
      </c>
    </row>
    <row r="19" spans="1:6" x14ac:dyDescent="0.25">
      <c r="A19">
        <v>12</v>
      </c>
      <c r="B19" s="8" t="e">
        <f t="shared" si="0"/>
        <v>#REF!</v>
      </c>
      <c r="D19" s="6" t="s">
        <v>89</v>
      </c>
      <c r="E19">
        <v>12</v>
      </c>
      <c r="F19" s="8" t="e">
        <f t="shared" si="1"/>
        <v>#REF!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P45"/>
  <sheetViews>
    <sheetView tabSelected="1" zoomScale="53" zoomScaleNormal="53" workbookViewId="0">
      <selection activeCell="F13" sqref="F13"/>
    </sheetView>
  </sheetViews>
  <sheetFormatPr defaultRowHeight="13.2" x14ac:dyDescent="0.25"/>
  <cols>
    <col min="1" max="1" width="6.33203125" customWidth="1"/>
    <col min="2" max="2" width="40.88671875" customWidth="1"/>
    <col min="3" max="3" width="34.33203125" bestFit="1" customWidth="1"/>
    <col min="4" max="4" width="35.6640625" customWidth="1"/>
    <col min="5" max="5" width="34.33203125" customWidth="1"/>
    <col min="6" max="6" width="39.44140625" customWidth="1"/>
    <col min="7" max="7" width="40.44140625" customWidth="1"/>
    <col min="8" max="8" width="35.88671875" customWidth="1"/>
    <col min="9" max="9" width="29.44140625" bestFit="1" customWidth="1"/>
    <col min="10" max="10" width="31.109375" bestFit="1" customWidth="1"/>
    <col min="11" max="11" width="11.109375" customWidth="1"/>
    <col min="12" max="12" width="25.21875" bestFit="1" customWidth="1"/>
    <col min="13" max="14" width="13.109375" bestFit="1" customWidth="1"/>
  </cols>
  <sheetData>
    <row r="1" spans="1:16" ht="30" x14ac:dyDescent="0.5">
      <c r="A1" s="129" t="s">
        <v>100</v>
      </c>
      <c r="B1" s="129"/>
      <c r="C1" s="129"/>
      <c r="D1" s="129"/>
      <c r="E1" s="129"/>
      <c r="F1" s="129"/>
      <c r="G1" s="129"/>
      <c r="H1" s="129"/>
      <c r="I1" s="10"/>
      <c r="J1" s="10"/>
    </row>
    <row r="2" spans="1:16" ht="22.8" x14ac:dyDescent="0.4">
      <c r="A2" s="133" t="s">
        <v>107</v>
      </c>
      <c r="B2" s="133"/>
      <c r="C2" s="133"/>
      <c r="D2" s="133"/>
      <c r="E2" s="133"/>
      <c r="F2" s="133"/>
      <c r="G2" s="133"/>
      <c r="H2" s="133"/>
      <c r="I2" s="133"/>
      <c r="J2" s="133"/>
      <c r="K2" s="1"/>
      <c r="L2" s="1"/>
      <c r="O2" s="1"/>
    </row>
    <row r="3" spans="1:16" ht="26.25" customHeight="1" x14ac:dyDescent="0.4">
      <c r="A3" s="137" t="s">
        <v>21</v>
      </c>
      <c r="B3" s="137"/>
      <c r="C3" s="137"/>
      <c r="D3" s="137"/>
      <c r="E3" s="137"/>
      <c r="F3" s="137"/>
      <c r="G3" s="137"/>
      <c r="H3" s="137"/>
      <c r="I3" s="11"/>
      <c r="J3" s="11"/>
      <c r="K3" s="3"/>
      <c r="L3" s="3"/>
      <c r="M3" s="3"/>
      <c r="N3" s="3"/>
    </row>
    <row r="4" spans="1:16" ht="36.75" customHeight="1" x14ac:dyDescent="0.4">
      <c r="A4" s="132" t="s">
        <v>109</v>
      </c>
      <c r="B4" s="132"/>
      <c r="C4" s="132"/>
      <c r="D4" s="132"/>
      <c r="E4" s="132"/>
      <c r="F4" s="132"/>
      <c r="G4" s="132"/>
      <c r="H4" s="132"/>
      <c r="I4" s="12"/>
      <c r="J4" s="12"/>
      <c r="K4" s="2"/>
      <c r="L4" s="2"/>
      <c r="M4" s="2"/>
      <c r="N4" s="2"/>
      <c r="O4" s="2"/>
    </row>
    <row r="5" spans="1:16" ht="20.25" customHeight="1" x14ac:dyDescent="0.4">
      <c r="A5" s="10"/>
      <c r="B5" s="10"/>
      <c r="C5" s="13"/>
      <c r="D5" s="14"/>
      <c r="E5" s="14"/>
      <c r="F5" s="14"/>
      <c r="G5" s="14"/>
      <c r="H5" s="15"/>
      <c r="I5" s="16"/>
      <c r="J5" s="16"/>
    </row>
    <row r="6" spans="1:16" ht="93" customHeight="1" x14ac:dyDescent="0.4">
      <c r="A6" s="42" t="s">
        <v>0</v>
      </c>
      <c r="B6" s="42" t="s">
        <v>20</v>
      </c>
      <c r="C6" s="17" t="s">
        <v>14</v>
      </c>
      <c r="D6" s="112" t="s">
        <v>111</v>
      </c>
      <c r="E6" s="112" t="s">
        <v>108</v>
      </c>
      <c r="F6" s="112" t="s">
        <v>97</v>
      </c>
      <c r="G6" s="18" t="s">
        <v>27</v>
      </c>
      <c r="H6" s="18" t="s">
        <v>16</v>
      </c>
      <c r="I6" s="19"/>
      <c r="J6" s="10"/>
    </row>
    <row r="7" spans="1:16" ht="30" customHeight="1" x14ac:dyDescent="0.4">
      <c r="A7" s="18"/>
      <c r="B7" s="18"/>
      <c r="C7" s="20" t="s">
        <v>110</v>
      </c>
      <c r="D7" s="113" t="s">
        <v>110</v>
      </c>
      <c r="E7" s="113" t="s">
        <v>110</v>
      </c>
      <c r="F7" s="113" t="s">
        <v>110</v>
      </c>
      <c r="G7" s="20" t="s">
        <v>110</v>
      </c>
      <c r="H7" s="20" t="s">
        <v>110</v>
      </c>
      <c r="I7" s="21"/>
      <c r="J7" s="10"/>
    </row>
    <row r="8" spans="1:16" ht="30" customHeight="1" x14ac:dyDescent="0.4">
      <c r="A8" s="22">
        <v>1</v>
      </c>
      <c r="B8" s="22" t="s">
        <v>23</v>
      </c>
      <c r="C8" s="43">
        <v>207476266947.74939</v>
      </c>
      <c r="D8" s="116">
        <v>10536000000</v>
      </c>
      <c r="E8" s="117">
        <v>1051160848.9814</v>
      </c>
      <c r="F8" s="118">
        <v>296439798.88999999</v>
      </c>
      <c r="G8" s="49">
        <v>24651033385.671001</v>
      </c>
      <c r="H8" s="24">
        <f>C8+D8+E8+F8+G8</f>
        <v>244010900981.29181</v>
      </c>
      <c r="I8" s="25"/>
      <c r="J8" s="25"/>
      <c r="K8" s="25"/>
      <c r="L8" s="25"/>
      <c r="M8" s="25"/>
      <c r="N8" s="25"/>
      <c r="P8" s="100"/>
    </row>
    <row r="9" spans="1:16" ht="22.8" x14ac:dyDescent="0.4">
      <c r="A9" s="22">
        <v>2</v>
      </c>
      <c r="B9" s="22" t="s">
        <v>29</v>
      </c>
      <c r="C9" s="46">
        <v>105234735247.6057</v>
      </c>
      <c r="D9" s="116">
        <v>5344000000</v>
      </c>
      <c r="E9" s="117">
        <v>533162830.00999999</v>
      </c>
      <c r="F9" s="116">
        <v>150358227.53</v>
      </c>
      <c r="G9" s="46">
        <v>82170111285.570007</v>
      </c>
      <c r="H9" s="24">
        <f t="shared" ref="H9:H20" si="0">C9+D9+E9+F9+G9</f>
        <v>193432367590.7157</v>
      </c>
      <c r="I9" s="25"/>
      <c r="J9" s="25"/>
      <c r="K9" s="25"/>
      <c r="L9" s="25"/>
      <c r="M9" s="25"/>
      <c r="N9" s="25"/>
      <c r="P9" s="100"/>
    </row>
    <row r="10" spans="1:16" ht="22.8" x14ac:dyDescent="0.4">
      <c r="A10" s="22">
        <v>3</v>
      </c>
      <c r="B10" s="22" t="s">
        <v>30</v>
      </c>
      <c r="C10" s="46">
        <v>81131569839.097198</v>
      </c>
      <c r="D10" s="116">
        <v>4120000000</v>
      </c>
      <c r="E10" s="116">
        <v>411046193.79299998</v>
      </c>
      <c r="F10" s="116">
        <v>115919890.98999999</v>
      </c>
      <c r="G10" s="46">
        <v>57519077899.899002</v>
      </c>
      <c r="H10" s="24">
        <f t="shared" si="0"/>
        <v>143297613823.77921</v>
      </c>
      <c r="I10" s="25"/>
      <c r="J10" s="25"/>
      <c r="K10" s="25"/>
      <c r="L10" s="25"/>
      <c r="M10" s="25"/>
      <c r="N10" s="25"/>
      <c r="P10" s="100"/>
    </row>
    <row r="11" spans="1:16" ht="22.8" x14ac:dyDescent="0.4">
      <c r="A11" s="22">
        <v>4</v>
      </c>
      <c r="B11" s="22" t="s">
        <v>17</v>
      </c>
      <c r="C11" s="46">
        <v>35889884526.637703</v>
      </c>
      <c r="D11" s="116">
        <v>0</v>
      </c>
      <c r="E11" s="117">
        <v>255387991.9084</v>
      </c>
      <c r="F11" s="119">
        <v>0</v>
      </c>
      <c r="G11" s="23">
        <v>0</v>
      </c>
      <c r="H11" s="24">
        <f>C11+D11+E11+F11+G11</f>
        <v>36145272518.546104</v>
      </c>
      <c r="I11" s="25"/>
      <c r="J11" s="25"/>
      <c r="K11" s="25"/>
      <c r="L11" s="25"/>
      <c r="M11" s="25"/>
      <c r="N11" s="25"/>
      <c r="P11" s="100"/>
    </row>
    <row r="12" spans="1:16" ht="22.8" x14ac:dyDescent="0.4">
      <c r="A12" s="22">
        <v>5</v>
      </c>
      <c r="B12" s="22" t="s">
        <v>39</v>
      </c>
      <c r="C12" s="46">
        <v>5971871020.0600004</v>
      </c>
      <c r="D12" s="116">
        <v>0</v>
      </c>
      <c r="E12" s="117">
        <v>0</v>
      </c>
      <c r="F12" s="116"/>
      <c r="G12" s="46">
        <v>670688875.87</v>
      </c>
      <c r="H12" s="24">
        <f t="shared" si="0"/>
        <v>6642559895.9300003</v>
      </c>
      <c r="I12" s="25"/>
      <c r="J12" s="25"/>
      <c r="K12" s="25"/>
      <c r="L12" s="25"/>
      <c r="M12" s="25"/>
      <c r="N12" s="25"/>
      <c r="P12" s="100"/>
    </row>
    <row r="13" spans="1:16" ht="22.8" x14ac:dyDescent="0.4">
      <c r="A13" s="22">
        <v>6</v>
      </c>
      <c r="B13" s="22" t="s">
        <v>101</v>
      </c>
      <c r="C13" s="46">
        <v>5112450554.2700005</v>
      </c>
      <c r="D13" s="116">
        <v>0</v>
      </c>
      <c r="E13" s="119">
        <v>0</v>
      </c>
      <c r="F13" s="116">
        <v>0</v>
      </c>
      <c r="G13" s="46">
        <v>6397707793.8599997</v>
      </c>
      <c r="H13" s="24">
        <f t="shared" si="0"/>
        <v>11510158348.130001</v>
      </c>
      <c r="I13" s="25"/>
      <c r="J13" s="25"/>
      <c r="K13" s="25"/>
      <c r="L13" s="25"/>
      <c r="M13" s="25"/>
      <c r="N13" s="25"/>
      <c r="P13" s="100"/>
    </row>
    <row r="14" spans="1:16" ht="22.8" x14ac:dyDescent="0.4">
      <c r="A14" s="22">
        <v>7</v>
      </c>
      <c r="B14" s="27" t="s">
        <v>106</v>
      </c>
      <c r="C14" s="47">
        <v>7699778057.8500004</v>
      </c>
      <c r="D14" s="116">
        <v>0</v>
      </c>
      <c r="E14" s="119">
        <v>0</v>
      </c>
      <c r="F14" s="119">
        <v>0</v>
      </c>
      <c r="G14" s="23">
        <v>0</v>
      </c>
      <c r="H14" s="24">
        <f t="shared" si="0"/>
        <v>7699778057.8500004</v>
      </c>
      <c r="I14" s="25"/>
      <c r="J14" s="25"/>
      <c r="K14" s="25"/>
      <c r="L14" s="25"/>
      <c r="M14" s="25"/>
      <c r="N14" s="25"/>
      <c r="P14" s="100"/>
    </row>
    <row r="15" spans="1:16" ht="22.8" x14ac:dyDescent="0.4">
      <c r="A15" s="22">
        <v>8</v>
      </c>
      <c r="B15" s="27" t="s">
        <v>102</v>
      </c>
      <c r="C15" s="47">
        <v>4000000000</v>
      </c>
      <c r="D15" s="120">
        <v>0</v>
      </c>
      <c r="E15" s="121">
        <v>0</v>
      </c>
      <c r="F15" s="122">
        <v>0</v>
      </c>
      <c r="G15" s="44">
        <v>0</v>
      </c>
      <c r="H15" s="24">
        <f t="shared" si="0"/>
        <v>4000000000</v>
      </c>
      <c r="I15" s="25"/>
      <c r="J15" s="25"/>
      <c r="K15" s="25"/>
      <c r="L15" s="25"/>
      <c r="M15" s="25"/>
      <c r="N15" s="25"/>
      <c r="P15" s="100"/>
    </row>
    <row r="16" spans="1:16" ht="45.6" x14ac:dyDescent="0.4">
      <c r="A16" s="22">
        <v>9</v>
      </c>
      <c r="B16" s="27" t="s">
        <v>103</v>
      </c>
      <c r="C16" s="48">
        <v>100000000</v>
      </c>
      <c r="D16" s="121">
        <v>0</v>
      </c>
      <c r="E16" s="121">
        <v>0</v>
      </c>
      <c r="F16" s="121">
        <v>0</v>
      </c>
      <c r="G16" s="45">
        <v>0</v>
      </c>
      <c r="H16" s="24">
        <f t="shared" si="0"/>
        <v>100000000</v>
      </c>
      <c r="I16" s="25"/>
      <c r="J16" s="25"/>
      <c r="K16" s="25"/>
      <c r="L16" s="25"/>
      <c r="M16" s="25"/>
      <c r="N16" s="25"/>
      <c r="P16" s="100"/>
    </row>
    <row r="17" spans="1:16" ht="45.6" x14ac:dyDescent="0.4">
      <c r="A17" s="22">
        <v>10</v>
      </c>
      <c r="B17" s="27" t="s">
        <v>105</v>
      </c>
      <c r="C17" s="48">
        <v>0</v>
      </c>
      <c r="D17" s="121">
        <v>0</v>
      </c>
      <c r="E17" s="121">
        <v>0</v>
      </c>
      <c r="F17" s="117">
        <v>0</v>
      </c>
      <c r="G17" s="48">
        <v>5301297502.3000002</v>
      </c>
      <c r="H17" s="24">
        <f t="shared" si="0"/>
        <v>5301297502.3000002</v>
      </c>
      <c r="I17" s="25"/>
      <c r="J17" s="25"/>
      <c r="K17" s="25"/>
      <c r="L17" s="25"/>
      <c r="M17" s="25"/>
      <c r="N17" s="25"/>
      <c r="P17" s="100"/>
    </row>
    <row r="18" spans="1:16" ht="22.8" x14ac:dyDescent="0.4">
      <c r="A18" s="22">
        <v>11</v>
      </c>
      <c r="B18" s="27" t="s">
        <v>104</v>
      </c>
      <c r="C18" s="48">
        <v>2498229918.48</v>
      </c>
      <c r="D18" s="123">
        <v>0</v>
      </c>
      <c r="E18" s="123">
        <v>0</v>
      </c>
      <c r="F18" s="123">
        <v>0</v>
      </c>
      <c r="G18" s="24">
        <v>0</v>
      </c>
      <c r="H18" s="24">
        <f t="shared" si="0"/>
        <v>2498229918.48</v>
      </c>
      <c r="I18" s="25"/>
      <c r="J18" s="25"/>
      <c r="K18" s="25"/>
      <c r="L18" s="25"/>
      <c r="M18" s="25"/>
      <c r="N18" s="25"/>
      <c r="P18" s="100"/>
    </row>
    <row r="19" spans="1:16" ht="45.6" x14ac:dyDescent="0.4">
      <c r="A19" s="22">
        <v>12</v>
      </c>
      <c r="B19" s="27" t="s">
        <v>115</v>
      </c>
      <c r="C19" s="48">
        <v>23920441326.360001</v>
      </c>
      <c r="D19" s="123"/>
      <c r="E19" s="123"/>
      <c r="F19" s="123"/>
      <c r="G19" s="24"/>
      <c r="H19" s="24">
        <f t="shared" si="0"/>
        <v>23920441326.360001</v>
      </c>
      <c r="I19" s="25"/>
      <c r="J19" s="25"/>
      <c r="K19" s="25"/>
      <c r="L19" s="25"/>
      <c r="M19" s="25"/>
      <c r="N19" s="25"/>
      <c r="P19" s="100"/>
    </row>
    <row r="20" spans="1:16" ht="68.400000000000006" x14ac:dyDescent="0.4">
      <c r="A20" s="22">
        <v>13</v>
      </c>
      <c r="B20" s="27" t="s">
        <v>116</v>
      </c>
      <c r="C20" s="48">
        <v>17797280476.330002</v>
      </c>
      <c r="D20" s="123"/>
      <c r="E20" s="123"/>
      <c r="F20" s="123"/>
      <c r="G20" s="24"/>
      <c r="H20" s="24">
        <f t="shared" si="0"/>
        <v>17797280476.330002</v>
      </c>
      <c r="I20" s="25"/>
      <c r="J20" s="25"/>
      <c r="K20" s="25"/>
      <c r="L20" s="25"/>
      <c r="M20" s="25"/>
      <c r="N20" s="25"/>
      <c r="P20" s="100"/>
    </row>
    <row r="21" spans="1:16" ht="23.4" thickBot="1" x14ac:dyDescent="0.45">
      <c r="A21" s="22"/>
      <c r="B21" s="26" t="s">
        <v>16</v>
      </c>
      <c r="C21" s="28">
        <f>SUM(C8:C20)</f>
        <v>496832507914.43994</v>
      </c>
      <c r="D21" s="124">
        <f t="shared" ref="D21:F21" si="1">SUM(D8:D20)</f>
        <v>20000000000</v>
      </c>
      <c r="E21" s="124">
        <f t="shared" si="1"/>
        <v>2250757864.6928</v>
      </c>
      <c r="F21" s="124">
        <f t="shared" si="1"/>
        <v>562717917.40999997</v>
      </c>
      <c r="G21" s="28">
        <f>SUM(G8:G20)</f>
        <v>176709916743.16998</v>
      </c>
      <c r="H21" s="24">
        <f>SUM(H8:H20)</f>
        <v>696355900439.71289</v>
      </c>
      <c r="I21" s="25"/>
      <c r="J21" s="25"/>
      <c r="K21" s="25"/>
      <c r="L21" s="25"/>
      <c r="M21" s="25"/>
      <c r="N21" s="25"/>
      <c r="P21" s="100"/>
    </row>
    <row r="22" spans="1:16" ht="23.4" thickTop="1" x14ac:dyDescent="0.4">
      <c r="A22" s="10"/>
      <c r="B22" s="29" t="s">
        <v>38</v>
      </c>
      <c r="C22" s="30"/>
      <c r="D22" s="30"/>
      <c r="E22" s="30"/>
      <c r="F22" s="30"/>
      <c r="G22" s="30"/>
      <c r="H22" s="30"/>
      <c r="I22" s="25"/>
      <c r="J22" s="25"/>
    </row>
    <row r="23" spans="1:16" ht="22.8" x14ac:dyDescent="0.4">
      <c r="A23" s="10"/>
      <c r="B23" s="10"/>
      <c r="C23" s="30"/>
      <c r="D23" s="101"/>
      <c r="E23" s="31"/>
      <c r="F23" s="31" t="s">
        <v>22</v>
      </c>
      <c r="G23" s="31"/>
      <c r="H23" s="30"/>
      <c r="I23" s="30"/>
      <c r="J23" s="30"/>
    </row>
    <row r="24" spans="1:16" ht="22.8" x14ac:dyDescent="0.4">
      <c r="A24" s="134" t="s">
        <v>112</v>
      </c>
      <c r="B24" s="134"/>
      <c r="C24" s="134"/>
      <c r="D24" s="134"/>
      <c r="E24" s="134"/>
      <c r="F24" s="134"/>
      <c r="G24" s="134"/>
      <c r="H24" s="134"/>
      <c r="I24" s="134"/>
      <c r="J24" s="134"/>
    </row>
    <row r="25" spans="1:16" ht="16.5" customHeight="1" x14ac:dyDescent="0.4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6" ht="30" customHeight="1" x14ac:dyDescent="0.4">
      <c r="A26" s="18">
        <v>0</v>
      </c>
      <c r="B26" s="18">
        <v>1</v>
      </c>
      <c r="C26" s="18">
        <v>2</v>
      </c>
      <c r="D26" s="18">
        <v>3</v>
      </c>
      <c r="E26" s="18" t="s">
        <v>96</v>
      </c>
      <c r="F26" s="17">
        <v>6</v>
      </c>
      <c r="G26" s="18">
        <v>7</v>
      </c>
      <c r="H26" s="18">
        <v>8</v>
      </c>
      <c r="I26" s="18">
        <v>9</v>
      </c>
      <c r="J26" s="18" t="s">
        <v>113</v>
      </c>
    </row>
    <row r="27" spans="1:16" ht="93" customHeight="1" x14ac:dyDescent="0.4">
      <c r="A27" s="32" t="s">
        <v>0</v>
      </c>
      <c r="B27" s="32" t="s">
        <v>20</v>
      </c>
      <c r="C27" s="33" t="s">
        <v>7</v>
      </c>
      <c r="D27" s="32" t="s">
        <v>94</v>
      </c>
      <c r="E27" s="32" t="s">
        <v>12</v>
      </c>
      <c r="F27" s="112" t="s">
        <v>111</v>
      </c>
      <c r="G27" s="112" t="s">
        <v>108</v>
      </c>
      <c r="H27" s="112" t="s">
        <v>97</v>
      </c>
      <c r="I27" s="32" t="s">
        <v>27</v>
      </c>
      <c r="J27" s="32" t="s">
        <v>13</v>
      </c>
    </row>
    <row r="28" spans="1:16" ht="30" customHeight="1" x14ac:dyDescent="0.4">
      <c r="A28" s="22"/>
      <c r="B28" s="22"/>
      <c r="C28" s="20" t="s">
        <v>110</v>
      </c>
      <c r="D28" s="20" t="s">
        <v>110</v>
      </c>
      <c r="E28" s="20" t="s">
        <v>110</v>
      </c>
      <c r="F28" s="113" t="s">
        <v>110</v>
      </c>
      <c r="G28" s="113" t="s">
        <v>110</v>
      </c>
      <c r="H28" s="113" t="s">
        <v>110</v>
      </c>
      <c r="I28" s="20" t="s">
        <v>110</v>
      </c>
      <c r="J28" s="52" t="s">
        <v>110</v>
      </c>
    </row>
    <row r="29" spans="1:16" ht="30" customHeight="1" x14ac:dyDescent="0.4">
      <c r="A29" s="22">
        <v>1</v>
      </c>
      <c r="B29" s="34" t="s">
        <v>18</v>
      </c>
      <c r="C29" s="35">
        <v>191013647436.70929</v>
      </c>
      <c r="D29" s="35">
        <v>88438755877.949997</v>
      </c>
      <c r="E29" s="35">
        <f>C29-D29</f>
        <v>102574891558.75929</v>
      </c>
      <c r="F29" s="114">
        <v>9700000000</v>
      </c>
      <c r="G29" s="114">
        <v>967754388.29999995</v>
      </c>
      <c r="H29" s="114">
        <v>272918189.94</v>
      </c>
      <c r="I29" s="36">
        <v>23007631159.959999</v>
      </c>
      <c r="J29" s="36">
        <f>E29+F29+G29+H29+I29</f>
        <v>136523195296.95929</v>
      </c>
      <c r="L29" s="111"/>
    </row>
    <row r="30" spans="1:16" ht="52.5" customHeight="1" x14ac:dyDescent="0.4">
      <c r="A30" s="22">
        <v>2</v>
      </c>
      <c r="B30" s="50" t="s">
        <v>19</v>
      </c>
      <c r="C30" s="35">
        <v>3938425720.3445001</v>
      </c>
      <c r="D30" s="35">
        <v>0</v>
      </c>
      <c r="E30" s="35">
        <f t="shared" ref="E30:E33" si="2">C30-D30</f>
        <v>3938425720.3445001</v>
      </c>
      <c r="F30" s="114">
        <v>200000000</v>
      </c>
      <c r="G30" s="114">
        <v>19953698.73</v>
      </c>
      <c r="H30" s="114">
        <v>5627179.1699999999</v>
      </c>
      <c r="I30" s="36">
        <v>0</v>
      </c>
      <c r="J30" s="36">
        <f t="shared" ref="J30:J33" si="3">E30+F30+G30+H30+I30</f>
        <v>4164006598.2445002</v>
      </c>
      <c r="L30" s="111"/>
    </row>
    <row r="31" spans="1:16" ht="22.8" x14ac:dyDescent="0.4">
      <c r="A31" s="22">
        <v>3</v>
      </c>
      <c r="B31" s="34" t="s">
        <v>4</v>
      </c>
      <c r="C31" s="35">
        <v>1969212860.1723001</v>
      </c>
      <c r="D31" s="35">
        <v>0</v>
      </c>
      <c r="E31" s="35">
        <f t="shared" si="2"/>
        <v>1969212860.1723001</v>
      </c>
      <c r="F31" s="114">
        <v>100000000</v>
      </c>
      <c r="G31" s="114">
        <v>9976849.3599999994</v>
      </c>
      <c r="H31" s="114">
        <v>2813589.59</v>
      </c>
      <c r="I31" s="36">
        <v>0</v>
      </c>
      <c r="J31" s="36">
        <f t="shared" si="3"/>
        <v>2082003299.1222999</v>
      </c>
      <c r="L31" s="111"/>
    </row>
    <row r="32" spans="1:16" ht="45.6" x14ac:dyDescent="0.4">
      <c r="A32" s="22">
        <v>4</v>
      </c>
      <c r="B32" s="27" t="s">
        <v>5</v>
      </c>
      <c r="C32" s="35">
        <v>6616555210.1787996</v>
      </c>
      <c r="D32" s="35">
        <v>0</v>
      </c>
      <c r="E32" s="35">
        <f t="shared" si="2"/>
        <v>6616555210.1787996</v>
      </c>
      <c r="F32" s="114">
        <v>336000000</v>
      </c>
      <c r="G32" s="114">
        <v>33522213.859999999</v>
      </c>
      <c r="H32" s="114">
        <v>9453661.0099999998</v>
      </c>
      <c r="I32" s="36">
        <v>0</v>
      </c>
      <c r="J32" s="36">
        <f t="shared" si="3"/>
        <v>6995531085.0487995</v>
      </c>
      <c r="L32" s="111"/>
    </row>
    <row r="33" spans="1:12" ht="23.4" thickBot="1" x14ac:dyDescent="0.45">
      <c r="A33" s="22">
        <v>5</v>
      </c>
      <c r="B33" s="22" t="s">
        <v>6</v>
      </c>
      <c r="C33" s="35">
        <v>3938425720.3445001</v>
      </c>
      <c r="D33" s="35">
        <v>49928018.600000001</v>
      </c>
      <c r="E33" s="35">
        <f t="shared" si="2"/>
        <v>3888497701.7445002</v>
      </c>
      <c r="F33" s="114">
        <v>200000000</v>
      </c>
      <c r="G33" s="114">
        <v>19953698.7278</v>
      </c>
      <c r="H33" s="114">
        <v>5627179.1699999999</v>
      </c>
      <c r="I33" s="36">
        <v>1643402225.71</v>
      </c>
      <c r="J33" s="36">
        <f t="shared" si="3"/>
        <v>5757480805.3523006</v>
      </c>
      <c r="L33" s="111"/>
    </row>
    <row r="34" spans="1:12" ht="24" thickTop="1" thickBot="1" x14ac:dyDescent="0.45">
      <c r="A34" s="22"/>
      <c r="B34" s="38" t="s">
        <v>10</v>
      </c>
      <c r="C34" s="39">
        <f>SUM(C29:C33)</f>
        <v>207476266947.74942</v>
      </c>
      <c r="D34" s="39">
        <f>SUM(D29:D33)</f>
        <v>88488683896.550003</v>
      </c>
      <c r="E34" s="39">
        <f t="shared" ref="E34" si="4">SUM(E29:E33)</f>
        <v>118987583051.1994</v>
      </c>
      <c r="F34" s="115">
        <f t="shared" ref="F34" si="5">SUM(F29:F33)</f>
        <v>10536000000</v>
      </c>
      <c r="G34" s="115">
        <f t="shared" ref="G34:H34" si="6">SUM(G29:G33)</f>
        <v>1051160848.9778</v>
      </c>
      <c r="H34" s="115">
        <f t="shared" si="6"/>
        <v>296439798.88</v>
      </c>
      <c r="I34" s="39">
        <f>SUM(I29:I33)</f>
        <v>24651033385.669998</v>
      </c>
      <c r="J34" s="39">
        <f>SUM(J29:J33)</f>
        <v>155522217084.7272</v>
      </c>
      <c r="L34" s="111"/>
    </row>
    <row r="35" spans="1:12" ht="23.4" thickTop="1" x14ac:dyDescent="0.4">
      <c r="A35" s="10"/>
      <c r="B35" s="10"/>
      <c r="C35" s="10"/>
      <c r="D35" s="37"/>
      <c r="E35" s="37"/>
      <c r="F35" s="51"/>
      <c r="G35" s="51"/>
      <c r="H35" s="51"/>
      <c r="I35" s="40"/>
      <c r="J35" s="37"/>
    </row>
    <row r="36" spans="1:12" ht="22.8" x14ac:dyDescent="0.4">
      <c r="A36" s="9" t="s">
        <v>98</v>
      </c>
      <c r="B36" s="10"/>
      <c r="C36" s="10"/>
      <c r="D36" s="10"/>
      <c r="E36" s="37"/>
      <c r="F36" s="37"/>
      <c r="G36" s="10"/>
      <c r="H36" s="10"/>
      <c r="I36" s="40"/>
      <c r="J36" s="37"/>
      <c r="K36" s="4"/>
    </row>
    <row r="37" spans="1:12" ht="96" customHeight="1" x14ac:dyDescent="0.4">
      <c r="A37" s="131" t="s">
        <v>99</v>
      </c>
      <c r="B37" s="131"/>
      <c r="C37" s="131"/>
      <c r="D37" s="131"/>
      <c r="E37" s="131"/>
      <c r="F37" s="131"/>
      <c r="G37" s="131"/>
      <c r="H37" s="131"/>
      <c r="I37" s="131"/>
      <c r="J37" s="131"/>
    </row>
    <row r="38" spans="1:12" ht="22.8" x14ac:dyDescent="0.4">
      <c r="A38" s="10"/>
      <c r="B38" s="41"/>
      <c r="C38" s="41"/>
      <c r="D38" s="41"/>
      <c r="E38" s="41"/>
      <c r="F38" s="41"/>
      <c r="G38" s="41"/>
      <c r="H38" s="10"/>
      <c r="I38" s="10"/>
      <c r="J38" s="10"/>
    </row>
    <row r="39" spans="1:12" ht="22.8" hidden="1" x14ac:dyDescent="0.4">
      <c r="A39" s="10"/>
      <c r="B39" s="41"/>
      <c r="C39" s="41"/>
      <c r="D39" s="41"/>
      <c r="E39" s="41"/>
      <c r="F39" s="41"/>
      <c r="G39" s="41"/>
      <c r="H39" s="10"/>
      <c r="I39" s="10"/>
      <c r="J39" s="10"/>
    </row>
    <row r="40" spans="1:12" ht="22.8" x14ac:dyDescent="0.4">
      <c r="A40" s="10"/>
      <c r="B40" s="41"/>
      <c r="C40" s="41"/>
      <c r="D40" s="41"/>
      <c r="E40" s="41"/>
      <c r="F40" s="41"/>
      <c r="G40" s="41"/>
      <c r="H40" s="10"/>
      <c r="I40" s="10"/>
      <c r="J40" s="10"/>
    </row>
    <row r="41" spans="1:12" ht="42.75" customHeight="1" x14ac:dyDescent="0.4">
      <c r="A41" s="10"/>
      <c r="B41" s="10"/>
      <c r="C41" s="135" t="s">
        <v>31</v>
      </c>
      <c r="D41" s="135"/>
      <c r="E41" s="135"/>
      <c r="F41" s="135"/>
      <c r="G41" s="135"/>
      <c r="H41" s="135"/>
      <c r="I41" s="10"/>
      <c r="J41" s="10"/>
    </row>
    <row r="42" spans="1:12" ht="24.6" x14ac:dyDescent="0.4">
      <c r="C42" s="136" t="s">
        <v>171</v>
      </c>
      <c r="D42" s="136"/>
      <c r="E42" s="136"/>
      <c r="F42" s="136"/>
      <c r="G42" s="136"/>
      <c r="H42" s="136"/>
    </row>
    <row r="43" spans="1:12" ht="24.6" x14ac:dyDescent="0.4">
      <c r="C43" s="130" t="s">
        <v>170</v>
      </c>
      <c r="D43" s="130"/>
      <c r="E43" s="130"/>
      <c r="F43" s="130"/>
      <c r="G43" s="130"/>
      <c r="H43" s="130"/>
    </row>
    <row r="44" spans="1:12" ht="24.6" x14ac:dyDescent="0.4">
      <c r="C44" s="130" t="s">
        <v>33</v>
      </c>
      <c r="D44" s="130"/>
      <c r="E44" s="130"/>
      <c r="F44" s="130"/>
      <c r="G44" s="130"/>
      <c r="H44" s="130"/>
    </row>
    <row r="45" spans="1:12" ht="35.25" customHeight="1" x14ac:dyDescent="0.25"/>
  </sheetData>
  <mergeCells count="10">
    <mergeCell ref="A1:H1"/>
    <mergeCell ref="C44:H44"/>
    <mergeCell ref="A37:J37"/>
    <mergeCell ref="A4:H4"/>
    <mergeCell ref="A2:J2"/>
    <mergeCell ref="A24:J24"/>
    <mergeCell ref="C41:H41"/>
    <mergeCell ref="C42:H42"/>
    <mergeCell ref="C43:H43"/>
    <mergeCell ref="A3:H3"/>
  </mergeCells>
  <phoneticPr fontId="2" type="noConversion"/>
  <pageMargins left="0.74803149606299213" right="0.74803149606299213" top="0.39370078740157483" bottom="0.41" header="0.51181102362204722" footer="0.51181102362204722"/>
  <pageSetup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T57"/>
  <sheetViews>
    <sheetView zoomScale="80" zoomScaleNormal="80" workbookViewId="0">
      <pane xSplit="3" ySplit="9" topLeftCell="P34" activePane="bottomRight" state="frozen"/>
      <selection pane="topRight" activeCell="D1" sqref="D1"/>
      <selection pane="bottomLeft" activeCell="A10" sqref="A10"/>
      <selection pane="bottomRight" activeCell="A4" sqref="A4:S48"/>
    </sheetView>
  </sheetViews>
  <sheetFormatPr defaultColWidth="9.109375" defaultRowHeight="13.2" x14ac:dyDescent="0.25"/>
  <cols>
    <col min="1" max="1" width="4" style="54" bestFit="1" customWidth="1"/>
    <col min="2" max="2" width="22.44140625" style="54" customWidth="1"/>
    <col min="3" max="3" width="7.44140625" style="54" customWidth="1"/>
    <col min="4" max="4" width="20.6640625" style="54" customWidth="1"/>
    <col min="5" max="5" width="19" style="54" customWidth="1"/>
    <col min="6" max="6" width="19.44140625" style="54" customWidth="1"/>
    <col min="7" max="7" width="17.88671875" style="54" bestFit="1" customWidth="1"/>
    <col min="8" max="8" width="18.5546875" style="54" customWidth="1"/>
    <col min="9" max="9" width="19.44140625" style="54" customWidth="1"/>
    <col min="10" max="10" width="19.5546875" style="54" customWidth="1"/>
    <col min="11" max="14" width="21" style="54" customWidth="1"/>
    <col min="15" max="15" width="22" style="54" bestFit="1" customWidth="1"/>
    <col min="16" max="17" width="22" style="54" customWidth="1"/>
    <col min="18" max="18" width="24.109375" style="54" bestFit="1" customWidth="1"/>
    <col min="19" max="19" width="20.109375" style="54" bestFit="1" customWidth="1"/>
    <col min="20" max="20" width="4.33203125" style="54" bestFit="1" customWidth="1"/>
    <col min="21" max="16384" width="9.109375" style="54"/>
  </cols>
  <sheetData>
    <row r="1" spans="1:20" ht="24.6" x14ac:dyDescent="0.4">
      <c r="A1" s="138" t="s">
        <v>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20" ht="24.6" hidden="1" x14ac:dyDescent="0.4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8" customHeight="1" x14ac:dyDescent="0.35">
      <c r="H3" s="56" t="s">
        <v>24</v>
      </c>
    </row>
    <row r="4" spans="1:20" ht="17.399999999999999" x14ac:dyDescent="0.3">
      <c r="A4" s="141" t="s">
        <v>114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ht="20.399999999999999" x14ac:dyDescent="0.35">
      <c r="A5" s="57"/>
      <c r="B5" s="57"/>
      <c r="C5" s="57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57"/>
    </row>
    <row r="6" spans="1:20" x14ac:dyDescent="0.25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 t="s">
        <v>8</v>
      </c>
      <c r="G6" s="58">
        <v>7</v>
      </c>
      <c r="H6" s="58">
        <v>8</v>
      </c>
      <c r="I6" s="58">
        <v>9</v>
      </c>
      <c r="J6" s="58" t="s">
        <v>9</v>
      </c>
      <c r="K6" s="58">
        <v>11</v>
      </c>
      <c r="L6" s="58">
        <v>12</v>
      </c>
      <c r="M6" s="58">
        <v>13</v>
      </c>
      <c r="N6" s="58"/>
      <c r="O6" s="58">
        <v>14</v>
      </c>
      <c r="P6" s="58"/>
      <c r="Q6" s="58"/>
      <c r="R6" s="58" t="s">
        <v>36</v>
      </c>
      <c r="S6" s="58" t="s">
        <v>37</v>
      </c>
      <c r="T6" s="59"/>
    </row>
    <row r="7" spans="1:20" ht="12.75" customHeight="1" x14ac:dyDescent="0.25">
      <c r="A7" s="142" t="s">
        <v>0</v>
      </c>
      <c r="B7" s="142" t="s">
        <v>20</v>
      </c>
      <c r="C7" s="142" t="s">
        <v>1</v>
      </c>
      <c r="D7" s="142" t="s">
        <v>172</v>
      </c>
      <c r="E7" s="142" t="s">
        <v>34</v>
      </c>
      <c r="F7" s="142" t="s">
        <v>2</v>
      </c>
      <c r="G7" s="149" t="s">
        <v>26</v>
      </c>
      <c r="H7" s="150"/>
      <c r="I7" s="151"/>
      <c r="J7" s="142" t="s">
        <v>12</v>
      </c>
      <c r="K7" s="139" t="s">
        <v>111</v>
      </c>
      <c r="L7" s="139" t="s">
        <v>108</v>
      </c>
      <c r="M7" s="139" t="s">
        <v>97</v>
      </c>
      <c r="N7" s="145" t="s">
        <v>168</v>
      </c>
      <c r="O7" s="142" t="s">
        <v>76</v>
      </c>
      <c r="P7" s="142" t="s">
        <v>120</v>
      </c>
      <c r="Q7" s="142" t="s">
        <v>121</v>
      </c>
      <c r="R7" s="142" t="s">
        <v>28</v>
      </c>
      <c r="S7" s="142" t="s">
        <v>13</v>
      </c>
      <c r="T7" s="142" t="s">
        <v>0</v>
      </c>
    </row>
    <row r="8" spans="1:20" ht="44.25" customHeight="1" x14ac:dyDescent="0.25">
      <c r="A8" s="143"/>
      <c r="B8" s="143"/>
      <c r="C8" s="143"/>
      <c r="D8" s="143"/>
      <c r="E8" s="143"/>
      <c r="F8" s="143"/>
      <c r="G8" s="60" t="s">
        <v>3</v>
      </c>
      <c r="H8" s="60" t="s">
        <v>11</v>
      </c>
      <c r="I8" s="60" t="s">
        <v>95</v>
      </c>
      <c r="J8" s="143"/>
      <c r="K8" s="140"/>
      <c r="L8" s="140"/>
      <c r="M8" s="140"/>
      <c r="N8" s="146"/>
      <c r="O8" s="143"/>
      <c r="P8" s="143"/>
      <c r="Q8" s="143"/>
      <c r="R8" s="143"/>
      <c r="S8" s="143"/>
      <c r="T8" s="143"/>
    </row>
    <row r="9" spans="1:20" ht="15.6" x14ac:dyDescent="0.3">
      <c r="A9" s="59"/>
      <c r="B9" s="59"/>
      <c r="C9" s="59"/>
      <c r="D9" s="53" t="s">
        <v>110</v>
      </c>
      <c r="E9" s="53" t="s">
        <v>110</v>
      </c>
      <c r="F9" s="53" t="s">
        <v>110</v>
      </c>
      <c r="G9" s="53" t="s">
        <v>110</v>
      </c>
      <c r="H9" s="53" t="s">
        <v>110</v>
      </c>
      <c r="I9" s="53" t="s">
        <v>110</v>
      </c>
      <c r="J9" s="53" t="s">
        <v>110</v>
      </c>
      <c r="K9" s="125" t="s">
        <v>110</v>
      </c>
      <c r="L9" s="125" t="s">
        <v>110</v>
      </c>
      <c r="M9" s="125" t="s">
        <v>110</v>
      </c>
      <c r="N9" s="53" t="s">
        <v>110</v>
      </c>
      <c r="O9" s="53" t="s">
        <v>110</v>
      </c>
      <c r="P9" s="53" t="s">
        <v>110</v>
      </c>
      <c r="Q9" s="53" t="s">
        <v>110</v>
      </c>
      <c r="R9" s="53" t="s">
        <v>110</v>
      </c>
      <c r="S9" s="53" t="s">
        <v>110</v>
      </c>
      <c r="T9" s="59"/>
    </row>
    <row r="10" spans="1:20" ht="18" customHeight="1" x14ac:dyDescent="0.25">
      <c r="A10" s="59">
        <v>1</v>
      </c>
      <c r="B10" s="61" t="s">
        <v>40</v>
      </c>
      <c r="C10" s="62">
        <v>17</v>
      </c>
      <c r="D10" s="63">
        <v>2528574534.0838175</v>
      </c>
      <c r="E10" s="63">
        <v>375103702.92460001</v>
      </c>
      <c r="F10" s="64">
        <f>D10+E10</f>
        <v>2903678237.0084176</v>
      </c>
      <c r="G10" s="65">
        <v>67572423.200000003</v>
      </c>
      <c r="H10" s="65">
        <v>0</v>
      </c>
      <c r="I10" s="63">
        <f>458629432.07-G10</f>
        <v>391057008.87</v>
      </c>
      <c r="J10" s="66">
        <f>F10-G10-H10-I10</f>
        <v>2445048804.9384179</v>
      </c>
      <c r="K10" s="126">
        <v>128405343.33</v>
      </c>
      <c r="L10" s="126">
        <v>16338508.061900001</v>
      </c>
      <c r="M10" s="126">
        <v>3612799.37</v>
      </c>
      <c r="N10" s="64">
        <v>74032711.877582625</v>
      </c>
      <c r="O10" s="66">
        <v>1667394880.0349</v>
      </c>
      <c r="P10" s="67">
        <v>0</v>
      </c>
      <c r="Q10" s="67">
        <f>O10-P10</f>
        <v>1667394880.0349</v>
      </c>
      <c r="R10" s="67">
        <f>F10+K10+L10+M10+N10+O10</f>
        <v>4793462479.6828003</v>
      </c>
      <c r="S10" s="68">
        <f>J10+K10+L10+M10+N10+Q10</f>
        <v>4334833047.6128006</v>
      </c>
      <c r="T10" s="59">
        <v>1</v>
      </c>
    </row>
    <row r="11" spans="1:20" ht="18" customHeight="1" x14ac:dyDescent="0.25">
      <c r="A11" s="59">
        <v>2</v>
      </c>
      <c r="B11" s="61" t="s">
        <v>41</v>
      </c>
      <c r="C11" s="69">
        <v>21</v>
      </c>
      <c r="D11" s="63">
        <v>2689968474.4459357</v>
      </c>
      <c r="E11" s="63">
        <v>0</v>
      </c>
      <c r="F11" s="64">
        <f t="shared" ref="F11:F45" si="0">D11+E11</f>
        <v>2689968474.4459357</v>
      </c>
      <c r="G11" s="65">
        <v>82177449.780000001</v>
      </c>
      <c r="H11" s="65">
        <v>0</v>
      </c>
      <c r="I11" s="63">
        <f>248158035.97-G11</f>
        <v>165980586.19</v>
      </c>
      <c r="J11" s="66">
        <f t="shared" ref="J11:J46" si="1">F11-G11-H11-I11</f>
        <v>2441810438.4759355</v>
      </c>
      <c r="K11" s="126">
        <v>136601203.90000001</v>
      </c>
      <c r="L11" s="126">
        <v>13628496.345799999</v>
      </c>
      <c r="M11" s="126">
        <v>3843397.25</v>
      </c>
      <c r="N11" s="64">
        <v>78758074.30006437</v>
      </c>
      <c r="O11" s="66">
        <v>1804599111.5095</v>
      </c>
      <c r="P11" s="67">
        <v>0</v>
      </c>
      <c r="Q11" s="67">
        <f t="shared" ref="Q11:Q46" si="2">O11-P11</f>
        <v>1804599111.5095</v>
      </c>
      <c r="R11" s="67">
        <f t="shared" ref="R11:R46" si="3">F11+K11+L11+M11+N11+O11</f>
        <v>4727398757.7513008</v>
      </c>
      <c r="S11" s="68">
        <f t="shared" ref="S11:S46" si="4">J11+K11+L11+M11+N11+Q11</f>
        <v>4479240721.7812996</v>
      </c>
      <c r="T11" s="59">
        <v>2</v>
      </c>
    </row>
    <row r="12" spans="1:20" ht="18" customHeight="1" x14ac:dyDescent="0.25">
      <c r="A12" s="59">
        <v>3</v>
      </c>
      <c r="B12" s="61" t="s">
        <v>42</v>
      </c>
      <c r="C12" s="69">
        <v>31</v>
      </c>
      <c r="D12" s="63">
        <v>2714966140.0770884</v>
      </c>
      <c r="E12" s="63">
        <v>6956066957.7521</v>
      </c>
      <c r="F12" s="64">
        <f t="shared" si="0"/>
        <v>9671033097.8291893</v>
      </c>
      <c r="G12" s="65">
        <v>44801992.189999998</v>
      </c>
      <c r="H12" s="65">
        <v>0</v>
      </c>
      <c r="I12" s="63">
        <f>933720649.22-G12</f>
        <v>888918657.02999997</v>
      </c>
      <c r="J12" s="66">
        <f t="shared" si="1"/>
        <v>8737312448.6091881</v>
      </c>
      <c r="K12" s="126">
        <v>137870628.16</v>
      </c>
      <c r="L12" s="126">
        <v>71289202.495499998</v>
      </c>
      <c r="M12" s="126">
        <v>3879113.64</v>
      </c>
      <c r="N12" s="64">
        <v>79489966.89481169</v>
      </c>
      <c r="O12" s="66">
        <v>2146258068.3016</v>
      </c>
      <c r="P12" s="67">
        <v>0</v>
      </c>
      <c r="Q12" s="67">
        <f t="shared" si="2"/>
        <v>2146258068.3016</v>
      </c>
      <c r="R12" s="67">
        <f t="shared" si="3"/>
        <v>12109820077.3211</v>
      </c>
      <c r="S12" s="68">
        <f t="shared" si="4"/>
        <v>11176099428.101099</v>
      </c>
      <c r="T12" s="59">
        <v>3</v>
      </c>
    </row>
    <row r="13" spans="1:20" ht="18" customHeight="1" x14ac:dyDescent="0.25">
      <c r="A13" s="59">
        <v>4</v>
      </c>
      <c r="B13" s="61" t="s">
        <v>43</v>
      </c>
      <c r="C13" s="69">
        <v>21</v>
      </c>
      <c r="D13" s="63">
        <v>2684929135.1962051</v>
      </c>
      <c r="E13" s="63">
        <v>0</v>
      </c>
      <c r="F13" s="64">
        <f t="shared" si="0"/>
        <v>2684929135.1962051</v>
      </c>
      <c r="G13" s="65">
        <v>49206305.829999998</v>
      </c>
      <c r="H13" s="65">
        <v>0</v>
      </c>
      <c r="I13" s="63">
        <f>157051201.08-G13</f>
        <v>107844895.25000001</v>
      </c>
      <c r="J13" s="66">
        <f t="shared" si="1"/>
        <v>2527877934.1162052</v>
      </c>
      <c r="K13" s="126">
        <v>136345297.63</v>
      </c>
      <c r="L13" s="126">
        <v>13602964.958799999</v>
      </c>
      <c r="M13" s="126">
        <v>3836197.1</v>
      </c>
      <c r="N13" s="64">
        <v>78610530.31989491</v>
      </c>
      <c r="O13" s="66">
        <v>2042143730.4744</v>
      </c>
      <c r="P13" s="67">
        <v>0</v>
      </c>
      <c r="Q13" s="67">
        <f t="shared" si="2"/>
        <v>2042143730.4744</v>
      </c>
      <c r="R13" s="67">
        <f t="shared" si="3"/>
        <v>4959467855.6793003</v>
      </c>
      <c r="S13" s="68">
        <f t="shared" si="4"/>
        <v>4802416654.5993004</v>
      </c>
      <c r="T13" s="59">
        <v>4</v>
      </c>
    </row>
    <row r="14" spans="1:20" ht="18" customHeight="1" x14ac:dyDescent="0.25">
      <c r="A14" s="59">
        <v>5</v>
      </c>
      <c r="B14" s="61" t="s">
        <v>44</v>
      </c>
      <c r="C14" s="69">
        <v>20</v>
      </c>
      <c r="D14" s="63">
        <v>3230059705.3192739</v>
      </c>
      <c r="E14" s="63">
        <v>0</v>
      </c>
      <c r="F14" s="64">
        <f t="shared" si="0"/>
        <v>3230059705.3192739</v>
      </c>
      <c r="G14" s="65">
        <v>136554732.87</v>
      </c>
      <c r="H14" s="65">
        <v>201255000</v>
      </c>
      <c r="I14" s="63">
        <f>682192854.37-G14-H14</f>
        <v>344383121.5</v>
      </c>
      <c r="J14" s="66">
        <f t="shared" si="1"/>
        <v>2547866850.9492741</v>
      </c>
      <c r="K14" s="126">
        <v>164027961.15000001</v>
      </c>
      <c r="L14" s="126">
        <v>16364822.5973</v>
      </c>
      <c r="M14" s="126">
        <v>4615073.63</v>
      </c>
      <c r="N14" s="64">
        <v>94571101.73642607</v>
      </c>
      <c r="O14" s="66">
        <v>2057890587.2913001</v>
      </c>
      <c r="P14" s="67">
        <v>0</v>
      </c>
      <c r="Q14" s="67">
        <f t="shared" si="2"/>
        <v>2057890587.2913001</v>
      </c>
      <c r="R14" s="67">
        <f t="shared" si="3"/>
        <v>5567529251.7243004</v>
      </c>
      <c r="S14" s="68">
        <f t="shared" si="4"/>
        <v>4885336397.3543005</v>
      </c>
      <c r="T14" s="59">
        <v>5</v>
      </c>
    </row>
    <row r="15" spans="1:20" ht="18" customHeight="1" x14ac:dyDescent="0.25">
      <c r="A15" s="59">
        <v>6</v>
      </c>
      <c r="B15" s="61" t="s">
        <v>45</v>
      </c>
      <c r="C15" s="69">
        <v>8</v>
      </c>
      <c r="D15" s="63">
        <v>2389326094.8125896</v>
      </c>
      <c r="E15" s="63">
        <v>7388310172.4103003</v>
      </c>
      <c r="F15" s="64">
        <f t="shared" si="0"/>
        <v>9777636267.2228889</v>
      </c>
      <c r="G15" s="65">
        <v>35910172.130000003</v>
      </c>
      <c r="H15" s="65">
        <v>0</v>
      </c>
      <c r="I15" s="63">
        <f>1001611973.16-G15</f>
        <v>965701801.02999997</v>
      </c>
      <c r="J15" s="66">
        <f t="shared" si="1"/>
        <v>8776024294.0628891</v>
      </c>
      <c r="K15" s="126">
        <v>121334069.22</v>
      </c>
      <c r="L15" s="126">
        <v>56057115.948399998</v>
      </c>
      <c r="M15" s="126">
        <v>3413842.74</v>
      </c>
      <c r="N15" s="64">
        <v>69955735.128210187</v>
      </c>
      <c r="O15" s="66">
        <v>1697569644.8857</v>
      </c>
      <c r="P15" s="67">
        <v>0</v>
      </c>
      <c r="Q15" s="67">
        <f t="shared" si="2"/>
        <v>1697569644.8857</v>
      </c>
      <c r="R15" s="67">
        <f t="shared" si="3"/>
        <v>11725966675.145199</v>
      </c>
      <c r="S15" s="68">
        <f t="shared" si="4"/>
        <v>10724354701.985199</v>
      </c>
      <c r="T15" s="59">
        <v>6</v>
      </c>
    </row>
    <row r="16" spans="1:20" ht="18" customHeight="1" x14ac:dyDescent="0.25">
      <c r="A16" s="59">
        <v>7</v>
      </c>
      <c r="B16" s="61" t="s">
        <v>46</v>
      </c>
      <c r="C16" s="69">
        <v>23</v>
      </c>
      <c r="D16" s="63">
        <v>3028389777.821527</v>
      </c>
      <c r="E16" s="63">
        <v>0</v>
      </c>
      <c r="F16" s="64">
        <f t="shared" si="0"/>
        <v>3028389777.821527</v>
      </c>
      <c r="G16" s="65">
        <v>32909106.25</v>
      </c>
      <c r="H16" s="65">
        <v>103855987.23</v>
      </c>
      <c r="I16" s="63">
        <f>908014347.92-H16-G16</f>
        <v>771249254.43999994</v>
      </c>
      <c r="J16" s="66">
        <f t="shared" si="1"/>
        <v>2120375429.9015269</v>
      </c>
      <c r="K16" s="126">
        <v>153789817.00999999</v>
      </c>
      <c r="L16" s="126">
        <v>15343079.0734</v>
      </c>
      <c r="M16" s="126">
        <v>4326929.87</v>
      </c>
      <c r="N16" s="64">
        <v>44333260.667636499</v>
      </c>
      <c r="O16" s="66">
        <v>1934450190.2407</v>
      </c>
      <c r="P16" s="67">
        <v>0</v>
      </c>
      <c r="Q16" s="67">
        <f t="shared" si="2"/>
        <v>1934450190.2407</v>
      </c>
      <c r="R16" s="67">
        <f t="shared" si="3"/>
        <v>5180633054.6832628</v>
      </c>
      <c r="S16" s="68">
        <f t="shared" si="4"/>
        <v>4272618706.7632627</v>
      </c>
      <c r="T16" s="59">
        <v>7</v>
      </c>
    </row>
    <row r="17" spans="1:20" ht="18" customHeight="1" x14ac:dyDescent="0.25">
      <c r="A17" s="59">
        <v>8</v>
      </c>
      <c r="B17" s="61" t="s">
        <v>47</v>
      </c>
      <c r="C17" s="69">
        <v>27</v>
      </c>
      <c r="D17" s="63">
        <v>3355021863.126482</v>
      </c>
      <c r="E17" s="63">
        <v>0</v>
      </c>
      <c r="F17" s="64">
        <f t="shared" si="0"/>
        <v>3355021863.126482</v>
      </c>
      <c r="G17" s="65">
        <v>24543400.530000001</v>
      </c>
      <c r="H17" s="65">
        <v>0</v>
      </c>
      <c r="I17" s="63">
        <f>84765545.46-G17</f>
        <v>60222144.929999992</v>
      </c>
      <c r="J17" s="66">
        <f t="shared" si="1"/>
        <v>3270256317.666482</v>
      </c>
      <c r="K17" s="126">
        <v>170373753.44</v>
      </c>
      <c r="L17" s="126">
        <v>16997932.736499999</v>
      </c>
      <c r="M17" s="126">
        <v>4793618.1900000004</v>
      </c>
      <c r="N17" s="64">
        <v>98229798.484417975</v>
      </c>
      <c r="O17" s="66">
        <v>1933245375.6682999</v>
      </c>
      <c r="P17" s="67">
        <v>0</v>
      </c>
      <c r="Q17" s="67">
        <f t="shared" si="2"/>
        <v>1933245375.6682999</v>
      </c>
      <c r="R17" s="67">
        <f t="shared" si="3"/>
        <v>5578662341.6456995</v>
      </c>
      <c r="S17" s="68">
        <f t="shared" si="4"/>
        <v>5493896796.1856995</v>
      </c>
      <c r="T17" s="59">
        <v>8</v>
      </c>
    </row>
    <row r="18" spans="1:20" ht="18" customHeight="1" x14ac:dyDescent="0.25">
      <c r="A18" s="59">
        <v>9</v>
      </c>
      <c r="B18" s="61" t="s">
        <v>48</v>
      </c>
      <c r="C18" s="69">
        <v>18</v>
      </c>
      <c r="D18" s="63">
        <v>2715429154.1146932</v>
      </c>
      <c r="E18" s="63">
        <v>0</v>
      </c>
      <c r="F18" s="64">
        <f t="shared" si="0"/>
        <v>2715429154.1146932</v>
      </c>
      <c r="G18" s="65">
        <v>221816087.66999999</v>
      </c>
      <c r="H18" s="65">
        <v>633134951.91999996</v>
      </c>
      <c r="I18" s="63">
        <f>1416061593.03-H18-G18</f>
        <v>561110553.44000006</v>
      </c>
      <c r="J18" s="66">
        <f t="shared" si="1"/>
        <v>1299367561.084693</v>
      </c>
      <c r="K18" s="126">
        <v>137894140.80000001</v>
      </c>
      <c r="L18" s="126">
        <v>13757490.714100001</v>
      </c>
      <c r="M18" s="126">
        <v>3879775.19</v>
      </c>
      <c r="N18" s="64">
        <v>79503523.222606897</v>
      </c>
      <c r="O18" s="66">
        <v>1755903712.1306</v>
      </c>
      <c r="P18" s="67">
        <v>0</v>
      </c>
      <c r="Q18" s="67">
        <f t="shared" si="2"/>
        <v>1755903712.1306</v>
      </c>
      <c r="R18" s="67">
        <f t="shared" si="3"/>
        <v>4706367796.1719999</v>
      </c>
      <c r="S18" s="68">
        <f t="shared" si="4"/>
        <v>3290306203.1419997</v>
      </c>
      <c r="T18" s="59">
        <v>9</v>
      </c>
    </row>
    <row r="19" spans="1:20" ht="18" customHeight="1" x14ac:dyDescent="0.25">
      <c r="A19" s="59">
        <v>10</v>
      </c>
      <c r="B19" s="61" t="s">
        <v>49</v>
      </c>
      <c r="C19" s="69">
        <v>25</v>
      </c>
      <c r="D19" s="63">
        <v>2741825757.9005241</v>
      </c>
      <c r="E19" s="63">
        <v>11038819678.034599</v>
      </c>
      <c r="F19" s="64">
        <f t="shared" si="0"/>
        <v>13780645435.935123</v>
      </c>
      <c r="G19" s="65">
        <v>26519863.5</v>
      </c>
      <c r="H19" s="65">
        <v>0</v>
      </c>
      <c r="I19" s="63">
        <f>1018480839.67-G19</f>
        <v>991960976.16999996</v>
      </c>
      <c r="J19" s="66">
        <f t="shared" si="1"/>
        <v>12762164596.265123</v>
      </c>
      <c r="K19" s="126">
        <v>139234605.53</v>
      </c>
      <c r="L19" s="126">
        <v>98897388.1118</v>
      </c>
      <c r="M19" s="126">
        <v>3917490.36</v>
      </c>
      <c r="N19" s="64">
        <v>80276374.540876046</v>
      </c>
      <c r="O19" s="66">
        <v>2360775711.5005002</v>
      </c>
      <c r="P19" s="67">
        <v>0</v>
      </c>
      <c r="Q19" s="67">
        <f t="shared" si="2"/>
        <v>2360775711.5005002</v>
      </c>
      <c r="R19" s="67">
        <f t="shared" si="3"/>
        <v>16463747005.9783</v>
      </c>
      <c r="S19" s="68">
        <f t="shared" si="4"/>
        <v>15445266166.3083</v>
      </c>
      <c r="T19" s="59">
        <v>10</v>
      </c>
    </row>
    <row r="20" spans="1:20" ht="18" customHeight="1" x14ac:dyDescent="0.25">
      <c r="A20" s="59">
        <v>11</v>
      </c>
      <c r="B20" s="61" t="s">
        <v>50</v>
      </c>
      <c r="C20" s="69">
        <v>13</v>
      </c>
      <c r="D20" s="63">
        <v>2415854973.3997231</v>
      </c>
      <c r="E20" s="63">
        <v>0</v>
      </c>
      <c r="F20" s="64">
        <f t="shared" si="0"/>
        <v>2415854973.3997231</v>
      </c>
      <c r="G20" s="65">
        <v>41682938.469999999</v>
      </c>
      <c r="H20" s="65">
        <v>0</v>
      </c>
      <c r="I20" s="63">
        <f>242567642.21-G20</f>
        <v>200884703.74000001</v>
      </c>
      <c r="J20" s="66">
        <f t="shared" si="1"/>
        <v>2173287331.189723</v>
      </c>
      <c r="K20" s="126">
        <v>122681251.09</v>
      </c>
      <c r="L20" s="126">
        <v>12239723.6175</v>
      </c>
      <c r="M20" s="126">
        <v>3451746.91</v>
      </c>
      <c r="N20" s="64">
        <v>70732459.246376947</v>
      </c>
      <c r="O20" s="66">
        <v>1637226015.1710999</v>
      </c>
      <c r="P20" s="67">
        <v>0</v>
      </c>
      <c r="Q20" s="67">
        <f t="shared" si="2"/>
        <v>1637226015.1710999</v>
      </c>
      <c r="R20" s="67">
        <f t="shared" si="3"/>
        <v>4262186169.4347</v>
      </c>
      <c r="S20" s="68">
        <f t="shared" si="4"/>
        <v>4019618527.2247</v>
      </c>
      <c r="T20" s="59">
        <v>11</v>
      </c>
    </row>
    <row r="21" spans="1:20" ht="18" customHeight="1" x14ac:dyDescent="0.25">
      <c r="A21" s="59">
        <v>12</v>
      </c>
      <c r="B21" s="61" t="s">
        <v>51</v>
      </c>
      <c r="C21" s="69">
        <v>18</v>
      </c>
      <c r="D21" s="63">
        <v>2524955634.8552618</v>
      </c>
      <c r="E21" s="63">
        <v>1404319708.0352001</v>
      </c>
      <c r="F21" s="64">
        <f t="shared" si="0"/>
        <v>3929275342.8904619</v>
      </c>
      <c r="G21" s="65">
        <v>91028172.920000002</v>
      </c>
      <c r="H21" s="65">
        <v>0</v>
      </c>
      <c r="I21" s="63">
        <f>384434721.09-G21</f>
        <v>293406548.16999996</v>
      </c>
      <c r="J21" s="66">
        <f t="shared" si="1"/>
        <v>3544840621.8004618</v>
      </c>
      <c r="K21" s="126">
        <v>128221569.44</v>
      </c>
      <c r="L21" s="126">
        <v>20523206.796100002</v>
      </c>
      <c r="M21" s="126">
        <v>3607628.73</v>
      </c>
      <c r="N21" s="64">
        <v>73926756.162038028</v>
      </c>
      <c r="O21" s="66">
        <v>1965643723.0136001</v>
      </c>
      <c r="P21" s="67">
        <v>0</v>
      </c>
      <c r="Q21" s="67">
        <f t="shared" si="2"/>
        <v>1965643723.0136001</v>
      </c>
      <c r="R21" s="67">
        <f t="shared" si="3"/>
        <v>6121198227.0321999</v>
      </c>
      <c r="S21" s="68">
        <f t="shared" si="4"/>
        <v>5736763505.9421997</v>
      </c>
      <c r="T21" s="59">
        <v>12</v>
      </c>
    </row>
    <row r="22" spans="1:20" ht="18" customHeight="1" x14ac:dyDescent="0.25">
      <c r="A22" s="59">
        <v>13</v>
      </c>
      <c r="B22" s="61" t="s">
        <v>52</v>
      </c>
      <c r="C22" s="69">
        <v>16</v>
      </c>
      <c r="D22" s="63">
        <v>2414491720.5172081</v>
      </c>
      <c r="E22" s="63">
        <v>0</v>
      </c>
      <c r="F22" s="64">
        <f t="shared" si="0"/>
        <v>2414491720.5172081</v>
      </c>
      <c r="G22" s="65">
        <v>99000874.819999993</v>
      </c>
      <c r="H22" s="65">
        <v>491490204.30000001</v>
      </c>
      <c r="I22" s="63">
        <f>948293664.43-H22-G22</f>
        <v>357802585.30999994</v>
      </c>
      <c r="J22" s="66">
        <f t="shared" si="1"/>
        <v>1466198056.087208</v>
      </c>
      <c r="K22" s="126">
        <v>122612022.77</v>
      </c>
      <c r="L22" s="126">
        <v>12232816.812899999</v>
      </c>
      <c r="M22" s="126">
        <v>3449799.11</v>
      </c>
      <c r="N22" s="64">
        <v>70692545.331791922</v>
      </c>
      <c r="O22" s="66">
        <v>1683518775.9207001</v>
      </c>
      <c r="P22" s="67">
        <v>0</v>
      </c>
      <c r="Q22" s="67">
        <f t="shared" si="2"/>
        <v>1683518775.9207001</v>
      </c>
      <c r="R22" s="67">
        <f t="shared" si="3"/>
        <v>4306997680.4626007</v>
      </c>
      <c r="S22" s="68">
        <f t="shared" si="4"/>
        <v>3358704016.0325999</v>
      </c>
      <c r="T22" s="59">
        <v>13</v>
      </c>
    </row>
    <row r="23" spans="1:20" ht="18" customHeight="1" x14ac:dyDescent="0.25">
      <c r="A23" s="59">
        <v>14</v>
      </c>
      <c r="B23" s="61" t="s">
        <v>53</v>
      </c>
      <c r="C23" s="69">
        <v>17</v>
      </c>
      <c r="D23" s="63">
        <v>2715663513.9845657</v>
      </c>
      <c r="E23" s="63">
        <v>0</v>
      </c>
      <c r="F23" s="64">
        <f t="shared" si="0"/>
        <v>2715663513.9845657</v>
      </c>
      <c r="G23" s="65">
        <v>97607572.599999994</v>
      </c>
      <c r="H23" s="65">
        <v>0</v>
      </c>
      <c r="I23" s="63">
        <f>177028684.53-G23</f>
        <v>79421111.930000007</v>
      </c>
      <c r="J23" s="66">
        <f t="shared" si="1"/>
        <v>2538634829.454566</v>
      </c>
      <c r="K23" s="126">
        <v>137906042</v>
      </c>
      <c r="L23" s="126">
        <v>13758678.073399998</v>
      </c>
      <c r="M23" s="126">
        <v>3880110.04</v>
      </c>
      <c r="N23" s="64">
        <v>79510384.91323413</v>
      </c>
      <c r="O23" s="66">
        <v>1840457716.9588001</v>
      </c>
      <c r="P23" s="67">
        <v>0</v>
      </c>
      <c r="Q23" s="67">
        <f t="shared" si="2"/>
        <v>1840457716.9588001</v>
      </c>
      <c r="R23" s="67">
        <f t="shared" si="3"/>
        <v>4791176445.9700003</v>
      </c>
      <c r="S23" s="68">
        <f t="shared" si="4"/>
        <v>4614147761.4400005</v>
      </c>
      <c r="T23" s="59">
        <v>14</v>
      </c>
    </row>
    <row r="24" spans="1:20" ht="18" customHeight="1" x14ac:dyDescent="0.25">
      <c r="A24" s="59">
        <v>15</v>
      </c>
      <c r="B24" s="61" t="s">
        <v>54</v>
      </c>
      <c r="C24" s="69">
        <v>11</v>
      </c>
      <c r="D24" s="63">
        <v>2543517130.9769311</v>
      </c>
      <c r="E24" s="63">
        <v>0</v>
      </c>
      <c r="F24" s="64">
        <f t="shared" si="0"/>
        <v>2543517130.9769311</v>
      </c>
      <c r="G24" s="65">
        <v>57175560.829999998</v>
      </c>
      <c r="H24" s="65">
        <v>533792423.91000003</v>
      </c>
      <c r="I24" s="63">
        <f>618829971.64-H24-G24</f>
        <v>27861986.899999961</v>
      </c>
      <c r="J24" s="66">
        <f t="shared" si="1"/>
        <v>1924687159.3369312</v>
      </c>
      <c r="K24" s="126">
        <v>129164153.98</v>
      </c>
      <c r="L24" s="126">
        <v>12886513.074899999</v>
      </c>
      <c r="M24" s="126">
        <v>3634149.19</v>
      </c>
      <c r="N24" s="64">
        <v>74470207.769168869</v>
      </c>
      <c r="O24" s="66">
        <v>1631246578.6071999</v>
      </c>
      <c r="P24" s="67">
        <v>0</v>
      </c>
      <c r="Q24" s="67">
        <f t="shared" si="2"/>
        <v>1631246578.6071999</v>
      </c>
      <c r="R24" s="67">
        <f t="shared" si="3"/>
        <v>4394918733.5981998</v>
      </c>
      <c r="S24" s="68">
        <f t="shared" si="4"/>
        <v>3776088761.9582</v>
      </c>
      <c r="T24" s="59">
        <v>15</v>
      </c>
    </row>
    <row r="25" spans="1:20" ht="18" customHeight="1" x14ac:dyDescent="0.25">
      <c r="A25" s="59">
        <v>16</v>
      </c>
      <c r="B25" s="61" t="s">
        <v>55</v>
      </c>
      <c r="C25" s="69">
        <v>27</v>
      </c>
      <c r="D25" s="63">
        <v>2807596248.9956436</v>
      </c>
      <c r="E25" s="63">
        <v>761241249.97549999</v>
      </c>
      <c r="F25" s="64">
        <f t="shared" si="0"/>
        <v>3568837498.9711437</v>
      </c>
      <c r="G25" s="65">
        <v>55600505.689999998</v>
      </c>
      <c r="H25" s="65">
        <v>0</v>
      </c>
      <c r="I25" s="63">
        <f>581053077.43-H25-G25</f>
        <v>525452571.73999995</v>
      </c>
      <c r="J25" s="66">
        <f t="shared" si="1"/>
        <v>2987784421.5411439</v>
      </c>
      <c r="K25" s="126">
        <v>142574543.66</v>
      </c>
      <c r="L25" s="126">
        <v>20862828.234300002</v>
      </c>
      <c r="M25" s="126">
        <v>4011462.51</v>
      </c>
      <c r="N25" s="64">
        <v>82202031.764856294</v>
      </c>
      <c r="O25" s="66">
        <v>1853311781.1712999</v>
      </c>
      <c r="P25" s="67">
        <v>0</v>
      </c>
      <c r="Q25" s="67">
        <f t="shared" si="2"/>
        <v>1853311781.1712999</v>
      </c>
      <c r="R25" s="67">
        <f t="shared" si="3"/>
        <v>5671800146.3115997</v>
      </c>
      <c r="S25" s="68">
        <f t="shared" si="4"/>
        <v>5090747068.8816004</v>
      </c>
      <c r="T25" s="59">
        <v>16</v>
      </c>
    </row>
    <row r="26" spans="1:20" ht="18" customHeight="1" x14ac:dyDescent="0.25">
      <c r="A26" s="59">
        <v>17</v>
      </c>
      <c r="B26" s="61" t="s">
        <v>56</v>
      </c>
      <c r="C26" s="69">
        <v>27</v>
      </c>
      <c r="D26" s="63">
        <v>3019830210.2410779</v>
      </c>
      <c r="E26" s="63">
        <v>0</v>
      </c>
      <c r="F26" s="64">
        <f t="shared" si="0"/>
        <v>3019830210.2410779</v>
      </c>
      <c r="G26" s="65">
        <v>35446402.5</v>
      </c>
      <c r="H26" s="65">
        <v>0</v>
      </c>
      <c r="I26" s="63">
        <f>109474218.46-G26</f>
        <v>74027815.959999993</v>
      </c>
      <c r="J26" s="66">
        <f t="shared" si="1"/>
        <v>2910355991.7810779</v>
      </c>
      <c r="K26" s="126">
        <v>153352147.52000001</v>
      </c>
      <c r="L26" s="126">
        <v>15299712.7567</v>
      </c>
      <c r="M26" s="126">
        <v>4314700.05</v>
      </c>
      <c r="N26" s="64">
        <v>88415910.569622144</v>
      </c>
      <c r="O26" s="66">
        <v>1950998546.9774001</v>
      </c>
      <c r="P26" s="67">
        <v>0</v>
      </c>
      <c r="Q26" s="67">
        <f t="shared" si="2"/>
        <v>1950998546.9774001</v>
      </c>
      <c r="R26" s="67">
        <f t="shared" si="3"/>
        <v>5232211228.1148005</v>
      </c>
      <c r="S26" s="68">
        <f t="shared" si="4"/>
        <v>5122737009.6548004</v>
      </c>
      <c r="T26" s="59">
        <v>17</v>
      </c>
    </row>
    <row r="27" spans="1:20" ht="18" customHeight="1" x14ac:dyDescent="0.25">
      <c r="A27" s="59">
        <v>18</v>
      </c>
      <c r="B27" s="61" t="s">
        <v>57</v>
      </c>
      <c r="C27" s="69">
        <v>23</v>
      </c>
      <c r="D27" s="63">
        <v>3538082329.0822377</v>
      </c>
      <c r="E27" s="63">
        <v>0</v>
      </c>
      <c r="F27" s="64">
        <f t="shared" si="0"/>
        <v>3538082329.0822377</v>
      </c>
      <c r="G27" s="65">
        <v>499421870.93000001</v>
      </c>
      <c r="H27" s="65">
        <v>0</v>
      </c>
      <c r="I27" s="63">
        <f>500198670.52-G27</f>
        <v>776799.58999997377</v>
      </c>
      <c r="J27" s="66">
        <f t="shared" si="1"/>
        <v>3037883658.5622377</v>
      </c>
      <c r="K27" s="126">
        <v>179669877.27000001</v>
      </c>
      <c r="L27" s="126">
        <v>17925393.011200003</v>
      </c>
      <c r="M27" s="126">
        <v>5055172.96</v>
      </c>
      <c r="N27" s="64">
        <v>103589522.92586195</v>
      </c>
      <c r="O27" s="66">
        <v>2691453477.9723001</v>
      </c>
      <c r="P27" s="67">
        <v>0</v>
      </c>
      <c r="Q27" s="67">
        <f t="shared" si="2"/>
        <v>2691453477.9723001</v>
      </c>
      <c r="R27" s="67">
        <f t="shared" si="3"/>
        <v>6535775773.2215996</v>
      </c>
      <c r="S27" s="68">
        <f t="shared" si="4"/>
        <v>6035577102.7015991</v>
      </c>
      <c r="T27" s="59">
        <v>18</v>
      </c>
    </row>
    <row r="28" spans="1:20" ht="18" customHeight="1" x14ac:dyDescent="0.25">
      <c r="A28" s="59">
        <v>19</v>
      </c>
      <c r="B28" s="61" t="s">
        <v>58</v>
      </c>
      <c r="C28" s="69">
        <v>44</v>
      </c>
      <c r="D28" s="63">
        <v>4283242553.628046</v>
      </c>
      <c r="E28" s="63">
        <v>0</v>
      </c>
      <c r="F28" s="64">
        <f t="shared" si="0"/>
        <v>4283242553.628046</v>
      </c>
      <c r="G28" s="65">
        <v>88827869.689999998</v>
      </c>
      <c r="H28" s="65">
        <v>585230380</v>
      </c>
      <c r="I28" s="63">
        <f>935664698.43-H28-G28</f>
        <v>261606448.73999995</v>
      </c>
      <c r="J28" s="66">
        <f t="shared" si="1"/>
        <v>3347577855.1980462</v>
      </c>
      <c r="K28" s="126">
        <v>217510389.06</v>
      </c>
      <c r="L28" s="126">
        <v>21700683.8653</v>
      </c>
      <c r="M28" s="126">
        <v>6119849.6600000001</v>
      </c>
      <c r="N28" s="64">
        <v>125406650.11045359</v>
      </c>
      <c r="O28" s="66">
        <v>3148579662.6977</v>
      </c>
      <c r="P28" s="67">
        <v>0</v>
      </c>
      <c r="Q28" s="67">
        <f t="shared" si="2"/>
        <v>3148579662.6977</v>
      </c>
      <c r="R28" s="67">
        <f t="shared" si="3"/>
        <v>7802559789.0214996</v>
      </c>
      <c r="S28" s="68">
        <f t="shared" si="4"/>
        <v>6866895090.5914993</v>
      </c>
      <c r="T28" s="59">
        <v>19</v>
      </c>
    </row>
    <row r="29" spans="1:20" ht="18" customHeight="1" x14ac:dyDescent="0.25">
      <c r="A29" s="59">
        <v>20</v>
      </c>
      <c r="B29" s="61" t="s">
        <v>59</v>
      </c>
      <c r="C29" s="69">
        <v>34</v>
      </c>
      <c r="D29" s="63">
        <v>3319391078.1797452</v>
      </c>
      <c r="E29" s="63">
        <v>0</v>
      </c>
      <c r="F29" s="64">
        <f t="shared" si="0"/>
        <v>3319391078.1797452</v>
      </c>
      <c r="G29" s="65">
        <v>131780920.95999999</v>
      </c>
      <c r="H29" s="65">
        <v>0</v>
      </c>
      <c r="I29" s="63">
        <f>169023646.23-G29</f>
        <v>37242725.269999996</v>
      </c>
      <c r="J29" s="66">
        <f t="shared" si="1"/>
        <v>3150367431.9497452</v>
      </c>
      <c r="K29" s="126">
        <v>168564361.19</v>
      </c>
      <c r="L29" s="126">
        <v>16817412.4012</v>
      </c>
      <c r="M29" s="126">
        <v>4742709.3099999996</v>
      </c>
      <c r="N29" s="64">
        <v>97186584.768454492</v>
      </c>
      <c r="O29" s="66">
        <v>2215536222.5594001</v>
      </c>
      <c r="P29" s="67">
        <v>0</v>
      </c>
      <c r="Q29" s="67">
        <f t="shared" si="2"/>
        <v>2215536222.5594001</v>
      </c>
      <c r="R29" s="67">
        <f t="shared" si="3"/>
        <v>5822238368.4088001</v>
      </c>
      <c r="S29" s="68">
        <f t="shared" si="4"/>
        <v>5653214722.1787996</v>
      </c>
      <c r="T29" s="59">
        <v>20</v>
      </c>
    </row>
    <row r="30" spans="1:20" ht="18" customHeight="1" x14ac:dyDescent="0.25">
      <c r="A30" s="59">
        <v>21</v>
      </c>
      <c r="B30" s="61" t="s">
        <v>60</v>
      </c>
      <c r="C30" s="69">
        <v>21</v>
      </c>
      <c r="D30" s="63">
        <v>2851373496.7655764</v>
      </c>
      <c r="E30" s="63">
        <v>0</v>
      </c>
      <c r="F30" s="64">
        <f t="shared" si="0"/>
        <v>2851373496.7655764</v>
      </c>
      <c r="G30" s="65">
        <v>60837586.390000001</v>
      </c>
      <c r="H30" s="65">
        <v>0</v>
      </c>
      <c r="I30" s="63">
        <f>98941949.54-G30</f>
        <v>38104363.150000006</v>
      </c>
      <c r="J30" s="66">
        <f t="shared" si="1"/>
        <v>2752431547.2255764</v>
      </c>
      <c r="K30" s="126">
        <v>144797627.24000001</v>
      </c>
      <c r="L30" s="126">
        <v>14446241.154899999</v>
      </c>
      <c r="M30" s="126">
        <v>4074010.96</v>
      </c>
      <c r="N30" s="64">
        <v>41741880.592411801</v>
      </c>
      <c r="O30" s="66">
        <v>1760163881.5116999</v>
      </c>
      <c r="P30" s="67">
        <v>0</v>
      </c>
      <c r="Q30" s="67">
        <f t="shared" si="2"/>
        <v>1760163881.5116999</v>
      </c>
      <c r="R30" s="67">
        <f t="shared" si="3"/>
        <v>4816597138.2245884</v>
      </c>
      <c r="S30" s="68">
        <f t="shared" si="4"/>
        <v>4717655188.6845884</v>
      </c>
      <c r="T30" s="59">
        <v>21</v>
      </c>
    </row>
    <row r="31" spans="1:20" ht="18" customHeight="1" x14ac:dyDescent="0.25">
      <c r="A31" s="59">
        <v>22</v>
      </c>
      <c r="B31" s="61" t="s">
        <v>61</v>
      </c>
      <c r="C31" s="69">
        <v>21</v>
      </c>
      <c r="D31" s="63">
        <v>2984527248.8124104</v>
      </c>
      <c r="E31" s="63">
        <v>0</v>
      </c>
      <c r="F31" s="64">
        <f t="shared" si="0"/>
        <v>2984527248.8124104</v>
      </c>
      <c r="G31" s="65">
        <v>46707847.82</v>
      </c>
      <c r="H31" s="65">
        <v>117593824.09999999</v>
      </c>
      <c r="I31" s="63">
        <f>257315582.06-H31-G31</f>
        <v>93013910.140000015</v>
      </c>
      <c r="J31" s="66">
        <f t="shared" si="1"/>
        <v>2727211666.7524104</v>
      </c>
      <c r="K31" s="126">
        <v>151559402.69999999</v>
      </c>
      <c r="L31" s="126">
        <v>15120853.307600001</v>
      </c>
      <c r="M31" s="126">
        <v>4264259.57</v>
      </c>
      <c r="N31" s="64">
        <v>43691147.507044896</v>
      </c>
      <c r="O31" s="66">
        <v>1797465178.6280999</v>
      </c>
      <c r="P31" s="67">
        <v>0</v>
      </c>
      <c r="Q31" s="67">
        <f t="shared" si="2"/>
        <v>1797465178.6280999</v>
      </c>
      <c r="R31" s="67">
        <f t="shared" si="3"/>
        <v>4996628090.5251551</v>
      </c>
      <c r="S31" s="68">
        <f t="shared" si="4"/>
        <v>4739312508.4651546</v>
      </c>
      <c r="T31" s="59">
        <v>22</v>
      </c>
    </row>
    <row r="32" spans="1:20" ht="18" customHeight="1" x14ac:dyDescent="0.25">
      <c r="A32" s="59">
        <v>23</v>
      </c>
      <c r="B32" s="61" t="s">
        <v>62</v>
      </c>
      <c r="C32" s="69">
        <v>16</v>
      </c>
      <c r="D32" s="63">
        <v>2403726983.2988844</v>
      </c>
      <c r="E32" s="63">
        <v>0</v>
      </c>
      <c r="F32" s="64">
        <f t="shared" si="0"/>
        <v>2403726983.2988844</v>
      </c>
      <c r="G32" s="65">
        <v>45348106.890000001</v>
      </c>
      <c r="H32" s="65">
        <v>0</v>
      </c>
      <c r="I32" s="63">
        <f>292645517.21-G32</f>
        <v>247297410.31999999</v>
      </c>
      <c r="J32" s="66">
        <f t="shared" si="1"/>
        <v>2111081466.0888846</v>
      </c>
      <c r="K32" s="126">
        <v>122065370.98999999</v>
      </c>
      <c r="L32" s="126">
        <v>12178278.1931</v>
      </c>
      <c r="M32" s="126">
        <v>3434418.57</v>
      </c>
      <c r="N32" s="64">
        <v>35188685.322207652</v>
      </c>
      <c r="O32" s="66">
        <v>1642865189.6082001</v>
      </c>
      <c r="P32" s="67">
        <v>0</v>
      </c>
      <c r="Q32" s="67">
        <f t="shared" si="2"/>
        <v>1642865189.6082001</v>
      </c>
      <c r="R32" s="67">
        <f t="shared" si="3"/>
        <v>4219458925.9823918</v>
      </c>
      <c r="S32" s="68">
        <f t="shared" si="4"/>
        <v>3926813408.7723923</v>
      </c>
      <c r="T32" s="59">
        <v>23</v>
      </c>
    </row>
    <row r="33" spans="1:20" ht="18" customHeight="1" x14ac:dyDescent="0.25">
      <c r="A33" s="59">
        <v>24</v>
      </c>
      <c r="B33" s="61" t="s">
        <v>63</v>
      </c>
      <c r="C33" s="69">
        <v>20</v>
      </c>
      <c r="D33" s="63">
        <v>3617476202.9895134</v>
      </c>
      <c r="E33" s="63">
        <v>0</v>
      </c>
      <c r="F33" s="64">
        <f t="shared" si="0"/>
        <v>3617476202.9895134</v>
      </c>
      <c r="G33" s="65">
        <v>1624033480.1500001</v>
      </c>
      <c r="H33" s="65">
        <v>1000000000</v>
      </c>
      <c r="I33" s="63">
        <f>3624810279.74-H33-G33</f>
        <v>1000776799.5899997</v>
      </c>
      <c r="J33" s="66">
        <f t="shared" si="1"/>
        <v>-7334076.7504863739</v>
      </c>
      <c r="K33" s="126">
        <v>183701634.09999999</v>
      </c>
      <c r="L33" s="126">
        <v>18327635.3136</v>
      </c>
      <c r="M33" s="126">
        <v>5168610.05</v>
      </c>
      <c r="N33" s="64">
        <v>105914051.51398653</v>
      </c>
      <c r="O33" s="66">
        <v>11960717805.551001</v>
      </c>
      <c r="P33" s="67">
        <v>1000000000</v>
      </c>
      <c r="Q33" s="67">
        <f t="shared" si="2"/>
        <v>10960717805.551001</v>
      </c>
      <c r="R33" s="67">
        <f t="shared" si="3"/>
        <v>15891305939.518101</v>
      </c>
      <c r="S33" s="68">
        <f t="shared" si="4"/>
        <v>11266495659.778101</v>
      </c>
      <c r="T33" s="59">
        <v>24</v>
      </c>
    </row>
    <row r="34" spans="1:20" ht="18" customHeight="1" x14ac:dyDescent="0.25">
      <c r="A34" s="59">
        <v>25</v>
      </c>
      <c r="B34" s="61" t="s">
        <v>64</v>
      </c>
      <c r="C34" s="69">
        <v>13</v>
      </c>
      <c r="D34" s="63">
        <v>2490266319.7173953</v>
      </c>
      <c r="E34" s="63">
        <v>0</v>
      </c>
      <c r="F34" s="64">
        <f t="shared" si="0"/>
        <v>2490266319.7173953</v>
      </c>
      <c r="G34" s="65">
        <v>34204952.520000003</v>
      </c>
      <c r="H34" s="65">
        <v>124722672.83</v>
      </c>
      <c r="I34" s="63">
        <f>159704424.94-H34-G34</f>
        <v>776799.58999999613</v>
      </c>
      <c r="J34" s="66">
        <f t="shared" si="1"/>
        <v>2330561894.7773952</v>
      </c>
      <c r="K34" s="126">
        <v>126459986.63</v>
      </c>
      <c r="L34" s="126">
        <v>12616722.372</v>
      </c>
      <c r="M34" s="126">
        <v>3558065.02</v>
      </c>
      <c r="N34" s="64">
        <v>72911107.211204797</v>
      </c>
      <c r="O34" s="66">
        <v>1504851836.5946</v>
      </c>
      <c r="P34" s="67">
        <v>0</v>
      </c>
      <c r="Q34" s="67">
        <f t="shared" si="2"/>
        <v>1504851836.5946</v>
      </c>
      <c r="R34" s="67">
        <f t="shared" si="3"/>
        <v>4210664037.5452003</v>
      </c>
      <c r="S34" s="68">
        <f t="shared" si="4"/>
        <v>4050959612.6052008</v>
      </c>
      <c r="T34" s="59">
        <v>25</v>
      </c>
    </row>
    <row r="35" spans="1:20" ht="18" customHeight="1" x14ac:dyDescent="0.25">
      <c r="A35" s="59">
        <v>26</v>
      </c>
      <c r="B35" s="61" t="s">
        <v>65</v>
      </c>
      <c r="C35" s="69">
        <v>25</v>
      </c>
      <c r="D35" s="63">
        <v>3198636211.0173502</v>
      </c>
      <c r="E35" s="63">
        <v>0</v>
      </c>
      <c r="F35" s="64">
        <f t="shared" si="0"/>
        <v>3198636211.0173502</v>
      </c>
      <c r="G35" s="65">
        <v>71360609.75</v>
      </c>
      <c r="H35" s="65">
        <v>275631992.38</v>
      </c>
      <c r="I35" s="63">
        <f>638619533.65-H35-G35</f>
        <v>291626931.51999998</v>
      </c>
      <c r="J35" s="66">
        <f t="shared" si="1"/>
        <v>2560016677.3673501</v>
      </c>
      <c r="K35" s="126">
        <v>162432222.31999999</v>
      </c>
      <c r="L35" s="126">
        <v>16205618.1362</v>
      </c>
      <c r="M35" s="126">
        <v>4570176.09</v>
      </c>
      <c r="N35" s="64">
        <v>46825535.458674848</v>
      </c>
      <c r="O35" s="66">
        <v>1957006534.8929999</v>
      </c>
      <c r="P35" s="67">
        <v>0</v>
      </c>
      <c r="Q35" s="67">
        <f t="shared" si="2"/>
        <v>1957006534.8929999</v>
      </c>
      <c r="R35" s="67">
        <f t="shared" si="3"/>
        <v>5385676297.915225</v>
      </c>
      <c r="S35" s="68">
        <f t="shared" si="4"/>
        <v>4747056764.2652254</v>
      </c>
      <c r="T35" s="59">
        <v>26</v>
      </c>
    </row>
    <row r="36" spans="1:20" ht="18" customHeight="1" x14ac:dyDescent="0.25">
      <c r="A36" s="59">
        <v>27</v>
      </c>
      <c r="B36" s="61" t="s">
        <v>66</v>
      </c>
      <c r="C36" s="69">
        <v>20</v>
      </c>
      <c r="D36" s="63">
        <v>2508761532.0679493</v>
      </c>
      <c r="E36" s="63">
        <v>0</v>
      </c>
      <c r="F36" s="64">
        <f t="shared" si="0"/>
        <v>2508761532.0679493</v>
      </c>
      <c r="G36" s="65">
        <v>115070808.52</v>
      </c>
      <c r="H36" s="65">
        <v>0</v>
      </c>
      <c r="I36" s="63">
        <f>1003967544.4-H36-G36</f>
        <v>888896735.88</v>
      </c>
      <c r="J36" s="66">
        <f t="shared" si="1"/>
        <v>1504793987.6679492</v>
      </c>
      <c r="K36" s="126">
        <v>127399205.18000001</v>
      </c>
      <c r="L36" s="126">
        <v>12710426.7904</v>
      </c>
      <c r="M36" s="126">
        <v>3584490.77</v>
      </c>
      <c r="N36" s="64">
        <v>73452618.133050904</v>
      </c>
      <c r="O36" s="66">
        <v>2131083049.1664</v>
      </c>
      <c r="P36" s="67">
        <v>0</v>
      </c>
      <c r="Q36" s="67">
        <f t="shared" si="2"/>
        <v>2131083049.1664</v>
      </c>
      <c r="R36" s="67">
        <f t="shared" si="3"/>
        <v>4856991322.1077995</v>
      </c>
      <c r="S36" s="68">
        <f t="shared" si="4"/>
        <v>3853023777.7077999</v>
      </c>
      <c r="T36" s="59">
        <v>27</v>
      </c>
    </row>
    <row r="37" spans="1:20" ht="18" customHeight="1" x14ac:dyDescent="0.25">
      <c r="A37" s="59">
        <v>28</v>
      </c>
      <c r="B37" s="61" t="s">
        <v>67</v>
      </c>
      <c r="C37" s="69">
        <v>18</v>
      </c>
      <c r="D37" s="63">
        <v>2513731669.6276722</v>
      </c>
      <c r="E37" s="63">
        <v>865389446.18519998</v>
      </c>
      <c r="F37" s="64">
        <f t="shared" si="0"/>
        <v>3379121115.8128719</v>
      </c>
      <c r="G37" s="65">
        <v>84587125.640000001</v>
      </c>
      <c r="H37" s="65">
        <v>951959613.62</v>
      </c>
      <c r="I37" s="63">
        <f>1190580805.11-H37-G37</f>
        <v>154034065.8499999</v>
      </c>
      <c r="J37" s="66">
        <f t="shared" si="1"/>
        <v>2188540310.7028723</v>
      </c>
      <c r="K37" s="126">
        <v>127651597.27</v>
      </c>
      <c r="L37" s="126">
        <v>19755846.2566</v>
      </c>
      <c r="M37" s="126">
        <v>3591592.05</v>
      </c>
      <c r="N37" s="64">
        <v>73598135.995727837</v>
      </c>
      <c r="O37" s="66">
        <v>1815379087.0941999</v>
      </c>
      <c r="P37" s="67">
        <v>0</v>
      </c>
      <c r="Q37" s="67">
        <f t="shared" si="2"/>
        <v>1815379087.0941999</v>
      </c>
      <c r="R37" s="67">
        <f t="shared" si="3"/>
        <v>5419097374.4793997</v>
      </c>
      <c r="S37" s="68">
        <f t="shared" si="4"/>
        <v>4228516569.3694</v>
      </c>
      <c r="T37" s="59">
        <v>28</v>
      </c>
    </row>
    <row r="38" spans="1:20" ht="18" customHeight="1" x14ac:dyDescent="0.25">
      <c r="A38" s="59">
        <v>29</v>
      </c>
      <c r="B38" s="61" t="s">
        <v>68</v>
      </c>
      <c r="C38" s="69">
        <v>30</v>
      </c>
      <c r="D38" s="63">
        <v>2462770946.5655313</v>
      </c>
      <c r="E38" s="63">
        <v>0</v>
      </c>
      <c r="F38" s="64">
        <f t="shared" si="0"/>
        <v>2462770946.5655313</v>
      </c>
      <c r="G38" s="65">
        <v>161618795.03999999</v>
      </c>
      <c r="H38" s="65">
        <v>0</v>
      </c>
      <c r="I38" s="63">
        <f>1404666538.64-G38</f>
        <v>1243047743.6000001</v>
      </c>
      <c r="J38" s="66">
        <f t="shared" si="1"/>
        <v>1058104407.9255311</v>
      </c>
      <c r="K38" s="126">
        <v>125063724.52</v>
      </c>
      <c r="L38" s="126">
        <v>12477419.4027</v>
      </c>
      <c r="M38" s="126">
        <v>3518779.93</v>
      </c>
      <c r="N38" s="64">
        <v>72106085.642168567</v>
      </c>
      <c r="O38" s="66">
        <v>1772766346.4967</v>
      </c>
      <c r="P38" s="67">
        <v>0</v>
      </c>
      <c r="Q38" s="67">
        <f t="shared" si="2"/>
        <v>1772766346.4967</v>
      </c>
      <c r="R38" s="67">
        <f t="shared" si="3"/>
        <v>4448703302.5570993</v>
      </c>
      <c r="S38" s="68">
        <f t="shared" si="4"/>
        <v>3044036763.9171</v>
      </c>
      <c r="T38" s="59">
        <v>29</v>
      </c>
    </row>
    <row r="39" spans="1:20" ht="18" customHeight="1" x14ac:dyDescent="0.25">
      <c r="A39" s="59">
        <v>30</v>
      </c>
      <c r="B39" s="61" t="s">
        <v>69</v>
      </c>
      <c r="C39" s="69">
        <v>33</v>
      </c>
      <c r="D39" s="63">
        <v>3028724378.8280015</v>
      </c>
      <c r="E39" s="63">
        <v>0</v>
      </c>
      <c r="F39" s="64">
        <f t="shared" si="0"/>
        <v>3028724378.8280015</v>
      </c>
      <c r="G39" s="65">
        <v>359936332.60000002</v>
      </c>
      <c r="H39" s="65">
        <v>0</v>
      </c>
      <c r="I39" s="63">
        <f>826273165.66-G39</f>
        <v>466336833.05999994</v>
      </c>
      <c r="J39" s="66">
        <f t="shared" si="1"/>
        <v>2202451213.1680017</v>
      </c>
      <c r="K39" s="126">
        <v>153803808.62</v>
      </c>
      <c r="L39" s="126">
        <v>15344774.298699999</v>
      </c>
      <c r="M39" s="126">
        <v>4327407.9400000004</v>
      </c>
      <c r="N39" s="64">
        <v>88676317.929898515</v>
      </c>
      <c r="O39" s="66">
        <v>3417274506.2414999</v>
      </c>
      <c r="P39" s="67">
        <v>0</v>
      </c>
      <c r="Q39" s="67">
        <f t="shared" si="2"/>
        <v>3417274506.2414999</v>
      </c>
      <c r="R39" s="67">
        <f t="shared" si="3"/>
        <v>6708151193.8580999</v>
      </c>
      <c r="S39" s="68">
        <f t="shared" si="4"/>
        <v>5881878028.1981001</v>
      </c>
      <c r="T39" s="59">
        <v>30</v>
      </c>
    </row>
    <row r="40" spans="1:20" ht="18" customHeight="1" x14ac:dyDescent="0.25">
      <c r="A40" s="59">
        <v>31</v>
      </c>
      <c r="B40" s="61" t="s">
        <v>70</v>
      </c>
      <c r="C40" s="69">
        <v>17</v>
      </c>
      <c r="D40" s="63">
        <v>2819842204.9312873</v>
      </c>
      <c r="E40" s="63">
        <v>0</v>
      </c>
      <c r="F40" s="64">
        <f t="shared" si="0"/>
        <v>2819842204.9312873</v>
      </c>
      <c r="G40" s="65">
        <v>30016657.489999998</v>
      </c>
      <c r="H40" s="65">
        <v>400864283.55500001</v>
      </c>
      <c r="I40" s="63">
        <f>1420829787.69-H40-G40</f>
        <v>989948846.64499998</v>
      </c>
      <c r="J40" s="66">
        <f t="shared" si="1"/>
        <v>1399012417.2412877</v>
      </c>
      <c r="K40" s="126">
        <v>143196414.25999999</v>
      </c>
      <c r="L40" s="126">
        <v>14286490.547899999</v>
      </c>
      <c r="M40" s="126">
        <v>4028959.4</v>
      </c>
      <c r="N40" s="64">
        <v>41280287.111156307</v>
      </c>
      <c r="O40" s="66">
        <v>1750916447.9707999</v>
      </c>
      <c r="P40" s="67">
        <v>0</v>
      </c>
      <c r="Q40" s="67">
        <f t="shared" si="2"/>
        <v>1750916447.9707999</v>
      </c>
      <c r="R40" s="67">
        <f t="shared" si="3"/>
        <v>4773550804.2211437</v>
      </c>
      <c r="S40" s="68">
        <f t="shared" si="4"/>
        <v>3352721016.5311441</v>
      </c>
      <c r="T40" s="59">
        <v>31</v>
      </c>
    </row>
    <row r="41" spans="1:20" ht="18" customHeight="1" x14ac:dyDescent="0.25">
      <c r="A41" s="59">
        <v>32</v>
      </c>
      <c r="B41" s="61" t="s">
        <v>71</v>
      </c>
      <c r="C41" s="69">
        <v>23</v>
      </c>
      <c r="D41" s="63">
        <v>2912229757.1189671</v>
      </c>
      <c r="E41" s="63">
        <v>6545819803.3596001</v>
      </c>
      <c r="F41" s="64">
        <f t="shared" si="0"/>
        <v>9458049560.4785671</v>
      </c>
      <c r="G41" s="65">
        <v>235396084.11000001</v>
      </c>
      <c r="H41" s="65">
        <v>0</v>
      </c>
      <c r="I41" s="63">
        <f>542807452.24-H41-G41</f>
        <v>307411368.13</v>
      </c>
      <c r="J41" s="66">
        <f t="shared" si="1"/>
        <v>8915242108.2385674</v>
      </c>
      <c r="K41" s="126">
        <v>147888012.31</v>
      </c>
      <c r="L41" s="126">
        <v>57627528.897799999</v>
      </c>
      <c r="M41" s="126">
        <v>4160961.71</v>
      </c>
      <c r="N41" s="64">
        <v>85265537.410132945</v>
      </c>
      <c r="O41" s="66">
        <v>3779032289.9935002</v>
      </c>
      <c r="P41" s="67">
        <v>0</v>
      </c>
      <c r="Q41" s="67">
        <f t="shared" si="2"/>
        <v>3779032289.9935002</v>
      </c>
      <c r="R41" s="67">
        <f t="shared" si="3"/>
        <v>13532023890.799999</v>
      </c>
      <c r="S41" s="68">
        <f t="shared" si="4"/>
        <v>12989216438.559999</v>
      </c>
      <c r="T41" s="59">
        <v>32</v>
      </c>
    </row>
    <row r="42" spans="1:20" ht="18" customHeight="1" x14ac:dyDescent="0.25">
      <c r="A42" s="59">
        <v>33</v>
      </c>
      <c r="B42" s="61" t="s">
        <v>72</v>
      </c>
      <c r="C42" s="69">
        <v>23</v>
      </c>
      <c r="D42" s="63">
        <v>2976034431.6415792</v>
      </c>
      <c r="E42" s="63">
        <v>0</v>
      </c>
      <c r="F42" s="64">
        <f t="shared" si="0"/>
        <v>2976034431.6415792</v>
      </c>
      <c r="G42" s="65">
        <v>49319478.219999999</v>
      </c>
      <c r="H42" s="65">
        <v>0</v>
      </c>
      <c r="I42" s="63">
        <f>401884463.14-H42-G42</f>
        <v>352564984.91999996</v>
      </c>
      <c r="J42" s="66">
        <f t="shared" si="1"/>
        <v>2574149968.5015793</v>
      </c>
      <c r="K42" s="126">
        <v>151128122.91</v>
      </c>
      <c r="L42" s="126">
        <v>15077825.166199999</v>
      </c>
      <c r="M42" s="126">
        <v>4252125.13</v>
      </c>
      <c r="N42" s="64">
        <v>87133638.595620662</v>
      </c>
      <c r="O42" s="66">
        <v>1858270656.1877</v>
      </c>
      <c r="P42" s="67">
        <v>0</v>
      </c>
      <c r="Q42" s="67">
        <f t="shared" si="2"/>
        <v>1858270656.1877</v>
      </c>
      <c r="R42" s="67">
        <f t="shared" si="3"/>
        <v>5091896799.6310997</v>
      </c>
      <c r="S42" s="68">
        <f t="shared" si="4"/>
        <v>4690012336.4911003</v>
      </c>
      <c r="T42" s="59">
        <v>33</v>
      </c>
    </row>
    <row r="43" spans="1:20" ht="18" customHeight="1" x14ac:dyDescent="0.25">
      <c r="A43" s="59">
        <v>34</v>
      </c>
      <c r="B43" s="61" t="s">
        <v>73</v>
      </c>
      <c r="C43" s="69">
        <v>16</v>
      </c>
      <c r="D43" s="63">
        <v>2601178434.697268</v>
      </c>
      <c r="E43" s="63">
        <v>0</v>
      </c>
      <c r="F43" s="64">
        <f t="shared" si="0"/>
        <v>2601178434.697268</v>
      </c>
      <c r="G43" s="65">
        <v>76381878.329999998</v>
      </c>
      <c r="H43" s="65">
        <v>0</v>
      </c>
      <c r="I43" s="63">
        <f>789587346.03-G43</f>
        <v>713205467.69999993</v>
      </c>
      <c r="J43" s="66">
        <f t="shared" si="1"/>
        <v>1811591088.6672683</v>
      </c>
      <c r="K43" s="126">
        <v>132092293.69</v>
      </c>
      <c r="L43" s="126">
        <v>13178649.1624</v>
      </c>
      <c r="M43" s="126">
        <v>3716535.02</v>
      </c>
      <c r="N43" s="64">
        <v>76158440.655832022</v>
      </c>
      <c r="O43" s="66">
        <v>1623430703.8864999</v>
      </c>
      <c r="P43" s="67">
        <v>0</v>
      </c>
      <c r="Q43" s="67">
        <f t="shared" si="2"/>
        <v>1623430703.8864999</v>
      </c>
      <c r="R43" s="67">
        <f t="shared" si="3"/>
        <v>4449755057.1119995</v>
      </c>
      <c r="S43" s="68">
        <f t="shared" si="4"/>
        <v>3660167711.0820003</v>
      </c>
      <c r="T43" s="59">
        <v>34</v>
      </c>
    </row>
    <row r="44" spans="1:20" ht="18" customHeight="1" x14ac:dyDescent="0.25">
      <c r="A44" s="59">
        <v>35</v>
      </c>
      <c r="B44" s="61" t="s">
        <v>74</v>
      </c>
      <c r="C44" s="69">
        <v>17</v>
      </c>
      <c r="D44" s="63">
        <v>2681481054.226078</v>
      </c>
      <c r="E44" s="63">
        <v>0</v>
      </c>
      <c r="F44" s="64">
        <f t="shared" si="0"/>
        <v>2681481054.226078</v>
      </c>
      <c r="G44" s="65">
        <v>44955919.229999997</v>
      </c>
      <c r="H44" s="65">
        <v>0</v>
      </c>
      <c r="I44" s="63">
        <f>88158924.92-G44</f>
        <v>43203005.690000005</v>
      </c>
      <c r="J44" s="66">
        <f t="shared" si="1"/>
        <v>2593322129.306078</v>
      </c>
      <c r="K44" s="126">
        <v>136170198.18000001</v>
      </c>
      <c r="L44" s="126">
        <v>13585495.5472</v>
      </c>
      <c r="M44" s="126">
        <v>3831270.52</v>
      </c>
      <c r="N44" s="64">
        <v>78509575.895922169</v>
      </c>
      <c r="O44" s="66">
        <v>1642530410.8903999</v>
      </c>
      <c r="P44" s="67">
        <v>0</v>
      </c>
      <c r="Q44" s="67">
        <f t="shared" si="2"/>
        <v>1642530410.8903999</v>
      </c>
      <c r="R44" s="67">
        <f t="shared" si="3"/>
        <v>4556108005.2595997</v>
      </c>
      <c r="S44" s="68">
        <f t="shared" si="4"/>
        <v>4467949080.3395996</v>
      </c>
      <c r="T44" s="59">
        <v>35</v>
      </c>
    </row>
    <row r="45" spans="1:20" ht="18" customHeight="1" x14ac:dyDescent="0.25">
      <c r="A45" s="59">
        <v>36</v>
      </c>
      <c r="B45" s="61" t="s">
        <v>75</v>
      </c>
      <c r="C45" s="69">
        <v>14</v>
      </c>
      <c r="D45" s="63">
        <v>2687191825.8935032</v>
      </c>
      <c r="E45" s="63">
        <v>0</v>
      </c>
      <c r="F45" s="64">
        <f t="shared" si="0"/>
        <v>2687191825.8935032</v>
      </c>
      <c r="G45" s="65">
        <v>37332162.299999997</v>
      </c>
      <c r="H45" s="65">
        <v>488822936.86000001</v>
      </c>
      <c r="I45" s="63">
        <f>769886906.28-H45-G45</f>
        <v>243731807.11999995</v>
      </c>
      <c r="J45" s="66">
        <f t="shared" si="1"/>
        <v>1917304919.613503</v>
      </c>
      <c r="K45" s="126">
        <v>136460200.94</v>
      </c>
      <c r="L45" s="126">
        <v>13614428.6916</v>
      </c>
      <c r="M45" s="126">
        <v>3839430</v>
      </c>
      <c r="N45" s="64">
        <v>78676778.368397012</v>
      </c>
      <c r="O45" s="66">
        <v>1738153847.7688999</v>
      </c>
      <c r="P45" s="67">
        <v>0</v>
      </c>
      <c r="Q45" s="67">
        <f t="shared" si="2"/>
        <v>1738153847.7688999</v>
      </c>
      <c r="R45" s="67">
        <f>F45+K45+L45+M45+N45+O45</f>
        <v>4657936511.6624002</v>
      </c>
      <c r="S45" s="68">
        <f t="shared" si="4"/>
        <v>3888049605.3824</v>
      </c>
      <c r="T45" s="59">
        <v>36</v>
      </c>
    </row>
    <row r="46" spans="1:20" ht="18" customHeight="1" x14ac:dyDescent="0.25">
      <c r="A46" s="59">
        <v>37</v>
      </c>
      <c r="B46" s="99" t="s">
        <v>117</v>
      </c>
      <c r="C46" s="99"/>
      <c r="D46" s="63"/>
      <c r="E46" s="63">
        <v>554813807.96080005</v>
      </c>
      <c r="F46" s="70">
        <f>D46+E46</f>
        <v>554813807.96080005</v>
      </c>
      <c r="G46" s="65">
        <v>0</v>
      </c>
      <c r="H46" s="65">
        <v>0</v>
      </c>
      <c r="I46" s="63">
        <v>0</v>
      </c>
      <c r="J46" s="66">
        <f t="shared" si="1"/>
        <v>554813807.96080005</v>
      </c>
      <c r="K46" s="126"/>
      <c r="L46" s="126">
        <v>1105955.9099999999</v>
      </c>
      <c r="M46" s="126">
        <v>0</v>
      </c>
      <c r="N46" s="64">
        <v>0</v>
      </c>
      <c r="O46" s="66">
        <v>0</v>
      </c>
      <c r="P46" s="67"/>
      <c r="Q46" s="67">
        <f t="shared" si="2"/>
        <v>0</v>
      </c>
      <c r="R46" s="67">
        <f t="shared" si="3"/>
        <v>555919763.87080002</v>
      </c>
      <c r="S46" s="68">
        <f t="shared" si="4"/>
        <v>555919763.87080002</v>
      </c>
      <c r="T46" s="59">
        <v>37</v>
      </c>
    </row>
    <row r="47" spans="1:20" ht="18" customHeight="1" thickBot="1" x14ac:dyDescent="0.3">
      <c r="A47" s="59">
        <v>38</v>
      </c>
      <c r="B47" s="92" t="s">
        <v>164</v>
      </c>
      <c r="C47" s="93"/>
      <c r="D47" s="94"/>
      <c r="E47" s="94"/>
      <c r="F47" s="95"/>
      <c r="G47" s="96"/>
      <c r="H47" s="96"/>
      <c r="I47" s="94"/>
      <c r="J47" s="97"/>
      <c r="K47" s="127"/>
      <c r="L47" s="127"/>
      <c r="M47" s="127"/>
      <c r="N47" s="95">
        <v>252718813.9091</v>
      </c>
      <c r="O47" s="97"/>
      <c r="P47" s="98"/>
      <c r="Q47" s="98"/>
      <c r="R47" s="67">
        <f t="shared" ref="R47" si="5">F47+K47+L47+M47+N47+O47</f>
        <v>252718813.9091</v>
      </c>
      <c r="S47" s="68">
        <f t="shared" ref="S47" si="6">J47+K47+L47+M47+N47+Q47</f>
        <v>252718813.9091</v>
      </c>
      <c r="T47" s="57"/>
    </row>
    <row r="48" spans="1:20" ht="18" customHeight="1" thickTop="1" thickBot="1" x14ac:dyDescent="0.35">
      <c r="A48" s="59"/>
      <c r="B48" s="147" t="s">
        <v>15</v>
      </c>
      <c r="C48" s="148"/>
      <c r="D48" s="71">
        <f>SUM(D10:D47)</f>
        <v>102399068728.95757</v>
      </c>
      <c r="E48" s="71">
        <f t="shared" ref="E48:S48" si="7">SUM(E10:E47)</f>
        <v>35889884526.637894</v>
      </c>
      <c r="F48" s="71">
        <f t="shared" si="7"/>
        <v>138288953255.59543</v>
      </c>
      <c r="G48" s="71">
        <f t="shared" si="7"/>
        <v>4996692048.3599997</v>
      </c>
      <c r="H48" s="71">
        <f t="shared" si="7"/>
        <v>5908354270.7049999</v>
      </c>
      <c r="I48" s="71">
        <f t="shared" si="7"/>
        <v>14180889369.105001</v>
      </c>
      <c r="J48" s="71">
        <f t="shared" si="7"/>
        <v>113203017567.42546</v>
      </c>
      <c r="K48" s="128">
        <f t="shared" si="7"/>
        <v>5200003000.0099993</v>
      </c>
      <c r="L48" s="128">
        <f t="shared" si="7"/>
        <v>774184158.83589983</v>
      </c>
      <c r="M48" s="128">
        <f t="shared" si="7"/>
        <v>146306658.53999999</v>
      </c>
      <c r="N48" s="71">
        <f t="shared" si="7"/>
        <v>2997742767.9869232</v>
      </c>
      <c r="O48" s="71">
        <f t="shared" si="7"/>
        <v>82170111285.57019</v>
      </c>
      <c r="P48" s="71">
        <f t="shared" si="7"/>
        <v>1000000000</v>
      </c>
      <c r="Q48" s="71">
        <f t="shared" si="7"/>
        <v>81170111285.57019</v>
      </c>
      <c r="R48" s="71">
        <f t="shared" si="7"/>
        <v>229577301126.53842</v>
      </c>
      <c r="S48" s="71">
        <f t="shared" si="7"/>
        <v>203491365438.36841</v>
      </c>
    </row>
    <row r="49" spans="1:19" ht="13.8" thickTop="1" x14ac:dyDescent="0.25">
      <c r="B49" s="54" t="s">
        <v>25</v>
      </c>
      <c r="I49" s="72"/>
      <c r="J49" s="72"/>
      <c r="K49" s="73"/>
      <c r="L49" s="73"/>
      <c r="O49" s="74"/>
      <c r="P49" s="74"/>
      <c r="Q49" s="74"/>
    </row>
    <row r="50" spans="1:19" x14ac:dyDescent="0.25">
      <c r="B50" s="54" t="s">
        <v>118</v>
      </c>
      <c r="I50" s="73"/>
      <c r="J50" s="72"/>
      <c r="S50" s="72"/>
    </row>
    <row r="51" spans="1:19" x14ac:dyDescent="0.25">
      <c r="C51" s="75" t="s">
        <v>35</v>
      </c>
      <c r="J51" s="91"/>
    </row>
    <row r="52" spans="1:19" x14ac:dyDescent="0.25">
      <c r="C52" s="75"/>
      <c r="J52" s="73"/>
    </row>
    <row r="53" spans="1:19" x14ac:dyDescent="0.25">
      <c r="M53" s="91"/>
    </row>
    <row r="54" spans="1:19" x14ac:dyDescent="0.25">
      <c r="P54" s="91"/>
    </row>
    <row r="55" spans="1:19" ht="21" x14ac:dyDescent="0.4">
      <c r="A55" s="76" t="s">
        <v>119</v>
      </c>
      <c r="M55" s="73"/>
    </row>
    <row r="56" spans="1:19" x14ac:dyDescent="0.25">
      <c r="J56" s="91"/>
    </row>
    <row r="57" spans="1:19" x14ac:dyDescent="0.25">
      <c r="J57" s="72"/>
    </row>
  </sheetData>
  <mergeCells count="22">
    <mergeCell ref="B48:C48"/>
    <mergeCell ref="G7:I7"/>
    <mergeCell ref="F7:F8"/>
    <mergeCell ref="E7:E8"/>
    <mergeCell ref="D7:D8"/>
    <mergeCell ref="C7:C8"/>
    <mergeCell ref="B7:B8"/>
    <mergeCell ref="A1:T1"/>
    <mergeCell ref="K7:K8"/>
    <mergeCell ref="A4:S4"/>
    <mergeCell ref="A7:A8"/>
    <mergeCell ref="T7:T8"/>
    <mergeCell ref="D5:S5"/>
    <mergeCell ref="J7:J8"/>
    <mergeCell ref="O7:O8"/>
    <mergeCell ref="R7:R8"/>
    <mergeCell ref="S7:S8"/>
    <mergeCell ref="L7:L8"/>
    <mergeCell ref="M7:M8"/>
    <mergeCell ref="P7:P8"/>
    <mergeCell ref="Q7:Q8"/>
    <mergeCell ref="N7:N8"/>
  </mergeCells>
  <phoneticPr fontId="2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8"/>
  <sheetViews>
    <sheetView topLeftCell="A23" workbookViewId="0">
      <selection activeCell="A3" sqref="A3:I44"/>
    </sheetView>
  </sheetViews>
  <sheetFormatPr defaultRowHeight="13.2" x14ac:dyDescent="0.25"/>
  <cols>
    <col min="2" max="2" width="29" customWidth="1"/>
    <col min="4" max="4" width="24.33203125" customWidth="1"/>
    <col min="5" max="5" width="25.5546875" customWidth="1"/>
    <col min="6" max="7" width="23.44140625" customWidth="1"/>
    <col min="8" max="8" width="26.109375" customWidth="1"/>
    <col min="9" max="9" width="8.44140625" customWidth="1"/>
    <col min="11" max="11" width="10.33203125" bestFit="1" customWidth="1"/>
  </cols>
  <sheetData>
    <row r="1" spans="1:11" ht="30" customHeight="1" x14ac:dyDescent="0.45">
      <c r="A1" s="152" t="s">
        <v>122</v>
      </c>
      <c r="B1" s="152"/>
      <c r="C1" s="152"/>
      <c r="D1" s="152"/>
      <c r="E1" s="152"/>
      <c r="F1" s="152"/>
      <c r="G1" s="152"/>
      <c r="H1" s="152"/>
      <c r="I1" s="152"/>
    </row>
    <row r="2" spans="1:11" ht="24.6" x14ac:dyDescent="0.4">
      <c r="A2" s="153" t="s">
        <v>123</v>
      </c>
      <c r="B2" s="154"/>
      <c r="C2" s="154"/>
      <c r="D2" s="154"/>
      <c r="E2" s="154"/>
      <c r="F2" s="154"/>
      <c r="G2" s="154"/>
      <c r="H2" s="154"/>
      <c r="I2" s="155"/>
    </row>
    <row r="3" spans="1:11" ht="48" customHeight="1" x14ac:dyDescent="0.35">
      <c r="A3" s="156" t="s">
        <v>169</v>
      </c>
      <c r="B3" s="157"/>
      <c r="C3" s="157"/>
      <c r="D3" s="157"/>
      <c r="E3" s="157"/>
      <c r="F3" s="157"/>
      <c r="G3" s="157"/>
      <c r="H3" s="157"/>
      <c r="I3" s="158"/>
    </row>
    <row r="4" spans="1:11" ht="18" x14ac:dyDescent="0.35">
      <c r="A4" s="77">
        <v>1</v>
      </c>
      <c r="B4" s="77">
        <v>2</v>
      </c>
      <c r="C4" s="77">
        <v>3</v>
      </c>
      <c r="D4" s="77">
        <v>4</v>
      </c>
      <c r="E4" s="77">
        <v>5</v>
      </c>
      <c r="F4" s="77">
        <v>6</v>
      </c>
      <c r="G4" s="77">
        <v>7</v>
      </c>
      <c r="H4" s="78" t="s">
        <v>124</v>
      </c>
      <c r="I4" s="79"/>
    </row>
    <row r="5" spans="1:11" ht="71.25" customHeight="1" x14ac:dyDescent="0.35">
      <c r="A5" s="80" t="s">
        <v>0</v>
      </c>
      <c r="B5" s="80" t="s">
        <v>20</v>
      </c>
      <c r="C5" s="81" t="s">
        <v>1</v>
      </c>
      <c r="D5" s="82" t="s">
        <v>125</v>
      </c>
      <c r="E5" s="83" t="s">
        <v>166</v>
      </c>
      <c r="F5" s="82" t="s">
        <v>126</v>
      </c>
      <c r="G5" s="82" t="s">
        <v>167</v>
      </c>
      <c r="H5" s="81" t="s">
        <v>127</v>
      </c>
      <c r="I5" s="80" t="s">
        <v>0</v>
      </c>
    </row>
    <row r="6" spans="1:11" ht="18" x14ac:dyDescent="0.35">
      <c r="A6" s="84"/>
      <c r="B6" s="84"/>
      <c r="C6" s="84"/>
      <c r="D6" s="53" t="s">
        <v>110</v>
      </c>
      <c r="E6" s="53" t="s">
        <v>110</v>
      </c>
      <c r="F6" s="53" t="s">
        <v>110</v>
      </c>
      <c r="G6" s="53" t="s">
        <v>110</v>
      </c>
      <c r="H6" s="53" t="s">
        <v>110</v>
      </c>
      <c r="I6" s="84"/>
    </row>
    <row r="7" spans="1:11" ht="18" x14ac:dyDescent="0.35">
      <c r="A7" s="85">
        <v>1</v>
      </c>
      <c r="B7" s="84" t="s">
        <v>128</v>
      </c>
      <c r="C7" s="85">
        <v>17</v>
      </c>
      <c r="D7" s="86">
        <v>70022064.020782635</v>
      </c>
      <c r="E7" s="84">
        <v>3555840.2768999999</v>
      </c>
      <c r="F7" s="84">
        <v>354760.82809999998</v>
      </c>
      <c r="G7" s="84">
        <v>100046.7518</v>
      </c>
      <c r="H7" s="84">
        <f t="shared" ref="H7:H42" si="0">D7+E7+F7+G7</f>
        <v>74032711.877582625</v>
      </c>
      <c r="I7" s="87">
        <v>1</v>
      </c>
    </row>
    <row r="8" spans="1:11" ht="18" x14ac:dyDescent="0.35">
      <c r="A8" s="85">
        <v>2</v>
      </c>
      <c r="B8" s="84" t="s">
        <v>129</v>
      </c>
      <c r="C8" s="85">
        <v>21</v>
      </c>
      <c r="D8" s="86">
        <v>74491434.676964372</v>
      </c>
      <c r="E8" s="84">
        <v>3782802.5696999999</v>
      </c>
      <c r="F8" s="84">
        <v>377404.51419999998</v>
      </c>
      <c r="G8" s="84">
        <v>106432.5392</v>
      </c>
      <c r="H8" s="84">
        <f t="shared" si="0"/>
        <v>78758074.30006437</v>
      </c>
      <c r="I8" s="87">
        <v>2</v>
      </c>
    </row>
    <row r="9" spans="1:11" ht="18" x14ac:dyDescent="0.35">
      <c r="A9" s="85">
        <v>3</v>
      </c>
      <c r="B9" s="84" t="s">
        <v>130</v>
      </c>
      <c r="C9" s="85">
        <v>31</v>
      </c>
      <c r="D9" s="86">
        <v>75183677.72521168</v>
      </c>
      <c r="E9" s="84">
        <v>3817955.8566999999</v>
      </c>
      <c r="F9" s="84">
        <v>380911.70449999999</v>
      </c>
      <c r="G9" s="84">
        <v>107421.6084</v>
      </c>
      <c r="H9" s="84">
        <f t="shared" si="0"/>
        <v>79489966.89481169</v>
      </c>
      <c r="I9" s="87">
        <v>3</v>
      </c>
    </row>
    <row r="10" spans="1:11" ht="18" x14ac:dyDescent="0.35">
      <c r="A10" s="85">
        <v>4</v>
      </c>
      <c r="B10" s="84" t="s">
        <v>131</v>
      </c>
      <c r="C10" s="85">
        <v>21</v>
      </c>
      <c r="D10" s="86">
        <v>74351883.743894905</v>
      </c>
      <c r="E10" s="84">
        <v>3775715.9344000001</v>
      </c>
      <c r="F10" s="84">
        <v>376697.49119999999</v>
      </c>
      <c r="G10" s="84">
        <v>106233.1504</v>
      </c>
      <c r="H10" s="84">
        <f t="shared" si="0"/>
        <v>78610530.31989491</v>
      </c>
      <c r="I10" s="87">
        <v>4</v>
      </c>
    </row>
    <row r="11" spans="1:11" ht="18" x14ac:dyDescent="0.35">
      <c r="A11" s="85">
        <v>5</v>
      </c>
      <c r="B11" s="84" t="s">
        <v>132</v>
      </c>
      <c r="C11" s="85">
        <v>20</v>
      </c>
      <c r="D11" s="86">
        <v>89447807.224226058</v>
      </c>
      <c r="E11" s="84">
        <v>4542312.7703999998</v>
      </c>
      <c r="F11" s="84">
        <v>453179.70270000002</v>
      </c>
      <c r="G11" s="84">
        <v>127802.03909999999</v>
      </c>
      <c r="H11" s="84">
        <f t="shared" si="0"/>
        <v>94571101.73642607</v>
      </c>
      <c r="I11" s="87">
        <v>5</v>
      </c>
    </row>
    <row r="12" spans="1:11" ht="18" x14ac:dyDescent="0.35">
      <c r="A12" s="85">
        <v>6</v>
      </c>
      <c r="B12" s="84" t="s">
        <v>133</v>
      </c>
      <c r="C12" s="85">
        <v>8</v>
      </c>
      <c r="D12" s="86">
        <v>66165953.394810177</v>
      </c>
      <c r="E12" s="84">
        <v>3360020.3783</v>
      </c>
      <c r="F12" s="84">
        <v>335224.1716</v>
      </c>
      <c r="G12" s="84">
        <v>94537.183499999999</v>
      </c>
      <c r="H12" s="84">
        <f t="shared" si="0"/>
        <v>69955735.128210187</v>
      </c>
      <c r="I12" s="87">
        <v>6</v>
      </c>
    </row>
    <row r="13" spans="1:11" ht="18" x14ac:dyDescent="0.35">
      <c r="A13" s="85">
        <v>7</v>
      </c>
      <c r="B13" s="84" t="s">
        <v>134</v>
      </c>
      <c r="C13" s="85">
        <v>23</v>
      </c>
      <c r="D13" s="86">
        <f>83863101.539673/2</f>
        <v>41931550.7698365</v>
      </c>
      <c r="E13" s="84">
        <f>4258711.8557/2</f>
        <v>2129355.9278500001</v>
      </c>
      <c r="F13" s="84">
        <f>424885.2666/2</f>
        <v>212442.63329999999</v>
      </c>
      <c r="G13" s="84">
        <f>119822.6733/2</f>
        <v>59911.336649999997</v>
      </c>
      <c r="H13" s="84">
        <f t="shared" si="0"/>
        <v>44333260.667636499</v>
      </c>
      <c r="I13" s="87">
        <v>7</v>
      </c>
      <c r="K13" s="100">
        <f>G13</f>
        <v>59911.336649999997</v>
      </c>
    </row>
    <row r="14" spans="1:11" ht="18" x14ac:dyDescent="0.35">
      <c r="A14" s="85">
        <v>8</v>
      </c>
      <c r="B14" s="84" t="s">
        <v>135</v>
      </c>
      <c r="C14" s="85">
        <v>27</v>
      </c>
      <c r="D14" s="86">
        <v>92908297.748117968</v>
      </c>
      <c r="E14" s="84">
        <v>4718042.4029999999</v>
      </c>
      <c r="F14" s="84">
        <v>470711.98349999997</v>
      </c>
      <c r="G14" s="84">
        <v>132746.3498</v>
      </c>
      <c r="H14" s="84">
        <f t="shared" si="0"/>
        <v>98229798.484417975</v>
      </c>
      <c r="I14" s="87">
        <v>8</v>
      </c>
    </row>
    <row r="15" spans="1:11" ht="18" x14ac:dyDescent="0.35">
      <c r="A15" s="85">
        <v>9</v>
      </c>
      <c r="B15" s="88" t="s">
        <v>136</v>
      </c>
      <c r="C15" s="85">
        <v>18</v>
      </c>
      <c r="D15" s="86">
        <v>75196499.652406886</v>
      </c>
      <c r="E15" s="84">
        <v>3818606.9761000001</v>
      </c>
      <c r="F15" s="84">
        <v>380976.66590000002</v>
      </c>
      <c r="G15" s="84">
        <v>107439.92819999999</v>
      </c>
      <c r="H15" s="84">
        <f t="shared" si="0"/>
        <v>79503523.222606897</v>
      </c>
      <c r="I15" s="87">
        <v>9</v>
      </c>
    </row>
    <row r="16" spans="1:11" ht="18" x14ac:dyDescent="0.35">
      <c r="A16" s="85">
        <v>10</v>
      </c>
      <c r="B16" s="84" t="s">
        <v>137</v>
      </c>
      <c r="C16" s="85">
        <v>25</v>
      </c>
      <c r="D16" s="86">
        <v>75927482.526476055</v>
      </c>
      <c r="E16" s="84">
        <v>3855727.5377000002</v>
      </c>
      <c r="F16" s="84">
        <v>384680.12819999998</v>
      </c>
      <c r="G16" s="84">
        <v>108484.34849999999</v>
      </c>
      <c r="H16" s="84">
        <f t="shared" si="0"/>
        <v>80276374.540876046</v>
      </c>
      <c r="I16" s="87">
        <v>10</v>
      </c>
    </row>
    <row r="17" spans="1:11" ht="18" x14ac:dyDescent="0.35">
      <c r="A17" s="85">
        <v>11</v>
      </c>
      <c r="B17" s="84" t="s">
        <v>138</v>
      </c>
      <c r="C17" s="85">
        <v>13</v>
      </c>
      <c r="D17" s="86">
        <v>66900599.263376944</v>
      </c>
      <c r="E17" s="84">
        <v>3397326.9531</v>
      </c>
      <c r="F17" s="84">
        <v>338946.1925</v>
      </c>
      <c r="G17" s="84">
        <v>95586.837400000004</v>
      </c>
      <c r="H17" s="84">
        <f t="shared" si="0"/>
        <v>70732459.246376947</v>
      </c>
      <c r="I17" s="87">
        <v>11</v>
      </c>
    </row>
    <row r="18" spans="1:11" ht="18" x14ac:dyDescent="0.35">
      <c r="A18" s="85">
        <v>12</v>
      </c>
      <c r="B18" s="84" t="s">
        <v>139</v>
      </c>
      <c r="C18" s="85">
        <v>18</v>
      </c>
      <c r="D18" s="86">
        <v>69921848.349838018</v>
      </c>
      <c r="E18" s="84">
        <v>3550751.1535999998</v>
      </c>
      <c r="F18" s="84">
        <v>354253.09389999998</v>
      </c>
      <c r="G18" s="84">
        <v>99903.564700000003</v>
      </c>
      <c r="H18" s="84">
        <f t="shared" si="0"/>
        <v>73926756.162038028</v>
      </c>
      <c r="I18" s="87">
        <v>12</v>
      </c>
    </row>
    <row r="19" spans="1:11" ht="18" x14ac:dyDescent="0.35">
      <c r="A19" s="85">
        <v>13</v>
      </c>
      <c r="B19" s="84" t="s">
        <v>140</v>
      </c>
      <c r="C19" s="85">
        <v>16</v>
      </c>
      <c r="D19" s="86">
        <v>66862847.645091914</v>
      </c>
      <c r="E19" s="84">
        <v>3395409.8613</v>
      </c>
      <c r="F19" s="84">
        <v>338754.92709999997</v>
      </c>
      <c r="G19" s="84">
        <v>95532.898300000001</v>
      </c>
      <c r="H19" s="84">
        <f t="shared" si="0"/>
        <v>70692545.331791922</v>
      </c>
      <c r="I19" s="87">
        <v>13</v>
      </c>
    </row>
    <row r="20" spans="1:11" ht="18" x14ac:dyDescent="0.35">
      <c r="A20" s="85">
        <v>14</v>
      </c>
      <c r="B20" s="84" t="s">
        <v>141</v>
      </c>
      <c r="C20" s="85">
        <v>17</v>
      </c>
      <c r="D20" s="86">
        <v>75202989.618034124</v>
      </c>
      <c r="E20" s="84">
        <v>3818936.5476000002</v>
      </c>
      <c r="F20" s="84">
        <v>381009.5466</v>
      </c>
      <c r="G20" s="84">
        <v>107449.201</v>
      </c>
      <c r="H20" s="84">
        <f t="shared" si="0"/>
        <v>79510384.91323413</v>
      </c>
      <c r="I20" s="87">
        <v>14</v>
      </c>
    </row>
    <row r="21" spans="1:11" ht="18" x14ac:dyDescent="0.35">
      <c r="A21" s="85">
        <v>15</v>
      </c>
      <c r="B21" s="84" t="s">
        <v>142</v>
      </c>
      <c r="C21" s="85">
        <v>11</v>
      </c>
      <c r="D21" s="86">
        <v>70435859.011668861</v>
      </c>
      <c r="E21" s="84">
        <v>3576853.4948999998</v>
      </c>
      <c r="F21" s="84">
        <v>356857.28509999998</v>
      </c>
      <c r="G21" s="84">
        <v>100637.97749999999</v>
      </c>
      <c r="H21" s="84">
        <f t="shared" si="0"/>
        <v>74470207.769168869</v>
      </c>
      <c r="I21" s="87">
        <v>15</v>
      </c>
    </row>
    <row r="22" spans="1:11" ht="18" x14ac:dyDescent="0.35">
      <c r="A22" s="85">
        <v>16</v>
      </c>
      <c r="B22" s="84" t="s">
        <v>143</v>
      </c>
      <c r="C22" s="85">
        <v>27</v>
      </c>
      <c r="D22" s="86">
        <v>77748819.202956289</v>
      </c>
      <c r="E22" s="84">
        <v>3948218.1320000002</v>
      </c>
      <c r="F22" s="84">
        <v>393907.7757</v>
      </c>
      <c r="G22" s="84">
        <v>111086.6542</v>
      </c>
      <c r="H22" s="84">
        <f t="shared" si="0"/>
        <v>82202031.764856294</v>
      </c>
      <c r="I22" s="87">
        <v>16</v>
      </c>
    </row>
    <row r="23" spans="1:11" ht="18" x14ac:dyDescent="0.35">
      <c r="A23" s="85">
        <v>17</v>
      </c>
      <c r="B23" s="84" t="s">
        <v>144</v>
      </c>
      <c r="C23" s="85">
        <v>27</v>
      </c>
      <c r="D23" s="86">
        <v>83626067.360522151</v>
      </c>
      <c r="E23" s="84">
        <v>4246674.8542999998</v>
      </c>
      <c r="F23" s="84">
        <v>423684.35330000002</v>
      </c>
      <c r="G23" s="84">
        <v>119484.0015</v>
      </c>
      <c r="H23" s="84">
        <f t="shared" si="0"/>
        <v>88415910.569622144</v>
      </c>
      <c r="I23" s="87">
        <v>17</v>
      </c>
    </row>
    <row r="24" spans="1:11" ht="18" x14ac:dyDescent="0.35">
      <c r="A24" s="85">
        <v>18</v>
      </c>
      <c r="B24" s="84" t="s">
        <v>145</v>
      </c>
      <c r="C24" s="85">
        <v>23</v>
      </c>
      <c r="D24" s="86">
        <v>97977664.497661963</v>
      </c>
      <c r="E24" s="84">
        <v>4975473.5244000005</v>
      </c>
      <c r="F24" s="84">
        <v>496395.4988</v>
      </c>
      <c r="G24" s="84">
        <v>139989.405</v>
      </c>
      <c r="H24" s="84">
        <f t="shared" si="0"/>
        <v>103589522.92586195</v>
      </c>
      <c r="I24" s="87">
        <v>18</v>
      </c>
    </row>
    <row r="25" spans="1:11" ht="18" x14ac:dyDescent="0.35">
      <c r="A25" s="85">
        <v>19</v>
      </c>
      <c r="B25" s="84" t="s">
        <v>146</v>
      </c>
      <c r="C25" s="85">
        <v>44</v>
      </c>
      <c r="D25" s="86">
        <v>118612870.7158536</v>
      </c>
      <c r="E25" s="84">
        <v>6023364.6201999998</v>
      </c>
      <c r="F25" s="84">
        <v>600942.01470000006</v>
      </c>
      <c r="G25" s="84">
        <v>169472.7597</v>
      </c>
      <c r="H25" s="84">
        <f t="shared" si="0"/>
        <v>125406650.11045359</v>
      </c>
      <c r="I25" s="87">
        <v>19</v>
      </c>
    </row>
    <row r="26" spans="1:11" ht="18" x14ac:dyDescent="0.35">
      <c r="A26" s="85">
        <v>20</v>
      </c>
      <c r="B26" s="84" t="s">
        <v>147</v>
      </c>
      <c r="C26" s="85">
        <v>34</v>
      </c>
      <c r="D26" s="86">
        <v>91921599.088054493</v>
      </c>
      <c r="E26" s="84">
        <v>4667936.1560000004</v>
      </c>
      <c r="F26" s="84">
        <v>465712.95880000002</v>
      </c>
      <c r="G26" s="84">
        <v>131336.5656</v>
      </c>
      <c r="H26" s="84">
        <f t="shared" si="0"/>
        <v>97186584.768454492</v>
      </c>
      <c r="I26" s="87">
        <v>20</v>
      </c>
    </row>
    <row r="27" spans="1:11" ht="18" x14ac:dyDescent="0.35">
      <c r="A27" s="85">
        <v>21</v>
      </c>
      <c r="B27" s="84" t="s">
        <v>148</v>
      </c>
      <c r="C27" s="85">
        <v>21</v>
      </c>
      <c r="D27" s="86">
        <f>78961112.2181236/2</f>
        <v>39480556.1090618</v>
      </c>
      <c r="E27" s="84">
        <f>4009780.4465/2</f>
        <v>2004890.22325</v>
      </c>
      <c r="F27" s="84">
        <f>400049.7551/2</f>
        <v>200024.87755</v>
      </c>
      <c r="G27" s="84">
        <f>112818.7651/2</f>
        <v>56409.382550000002</v>
      </c>
      <c r="H27" s="84">
        <f t="shared" si="0"/>
        <v>41741880.592411801</v>
      </c>
      <c r="I27" s="87">
        <v>21</v>
      </c>
      <c r="K27" s="100">
        <f>G27</f>
        <v>56409.382550000002</v>
      </c>
    </row>
    <row r="28" spans="1:11" ht="18" x14ac:dyDescent="0.35">
      <c r="A28" s="85">
        <v>22</v>
      </c>
      <c r="B28" s="84" t="s">
        <v>149</v>
      </c>
      <c r="C28" s="85">
        <v>21</v>
      </c>
      <c r="D28" s="86">
        <f>82648446.8901898/2</f>
        <v>41324223.445094898</v>
      </c>
      <c r="E28" s="84">
        <f>4197029.6133/2</f>
        <v>2098514.8066500002</v>
      </c>
      <c r="F28" s="84">
        <f>418731.3224/2</f>
        <v>209365.6612</v>
      </c>
      <c r="G28" s="84">
        <f>118087.1882/2</f>
        <v>59043.594100000002</v>
      </c>
      <c r="H28" s="84">
        <f t="shared" si="0"/>
        <v>43691147.507044896</v>
      </c>
      <c r="I28" s="87">
        <v>22</v>
      </c>
      <c r="K28" s="100">
        <f>G28</f>
        <v>59043.594100000002</v>
      </c>
    </row>
    <row r="29" spans="1:11" ht="18" x14ac:dyDescent="0.35">
      <c r="A29" s="85">
        <v>23</v>
      </c>
      <c r="B29" s="84" t="s">
        <v>150</v>
      </c>
      <c r="C29" s="85">
        <v>16</v>
      </c>
      <c r="D29" s="86">
        <f>66564747.2298153/2</f>
        <v>33282373.614907648</v>
      </c>
      <c r="E29" s="84">
        <f>3380271.812/2</f>
        <v>1690135.906</v>
      </c>
      <c r="F29" s="84">
        <f>337244.6269/2</f>
        <v>168622.31344999999</v>
      </c>
      <c r="G29" s="84">
        <f>95106.9757/2</f>
        <v>47553.487849999998</v>
      </c>
      <c r="H29" s="84">
        <f t="shared" si="0"/>
        <v>35188685.322207652</v>
      </c>
      <c r="I29" s="87">
        <v>23</v>
      </c>
      <c r="K29" s="100">
        <f>G29</f>
        <v>47553.487849999998</v>
      </c>
    </row>
    <row r="30" spans="1:11" ht="18" x14ac:dyDescent="0.35">
      <c r="A30" s="85">
        <v>24</v>
      </c>
      <c r="B30" s="84" t="s">
        <v>151</v>
      </c>
      <c r="C30" s="85">
        <v>20</v>
      </c>
      <c r="D30" s="86">
        <v>100176264.08278653</v>
      </c>
      <c r="E30" s="84">
        <v>5087122.1749999998</v>
      </c>
      <c r="F30" s="84">
        <v>507534.51640000002</v>
      </c>
      <c r="G30" s="84">
        <v>143130.73980000001</v>
      </c>
      <c r="H30" s="84">
        <f t="shared" si="0"/>
        <v>105914051.51398653</v>
      </c>
      <c r="I30" s="87">
        <v>24</v>
      </c>
    </row>
    <row r="31" spans="1:11" ht="18" x14ac:dyDescent="0.35">
      <c r="A31" s="85">
        <v>25</v>
      </c>
      <c r="B31" s="84" t="s">
        <v>152</v>
      </c>
      <c r="C31" s="85">
        <v>13</v>
      </c>
      <c r="D31" s="86">
        <v>68961221.161404788</v>
      </c>
      <c r="E31" s="84">
        <v>3501968.8605999998</v>
      </c>
      <c r="F31" s="84">
        <v>349386.158</v>
      </c>
      <c r="G31" s="84">
        <v>98531.031199999998</v>
      </c>
      <c r="H31" s="84">
        <f t="shared" si="0"/>
        <v>72911107.211204797</v>
      </c>
      <c r="I31" s="87">
        <v>25</v>
      </c>
    </row>
    <row r="32" spans="1:11" ht="18" x14ac:dyDescent="0.35">
      <c r="A32" s="85">
        <v>26</v>
      </c>
      <c r="B32" s="84" t="s">
        <v>153</v>
      </c>
      <c r="C32" s="85">
        <v>25</v>
      </c>
      <c r="D32" s="86">
        <f>88577618.1512497/2</f>
        <v>44288809.075624853</v>
      </c>
      <c r="E32" s="84">
        <f>4498123.0797/2</f>
        <v>2249061.5398499998</v>
      </c>
      <c r="F32" s="84">
        <f>448770.9638/2</f>
        <v>224385.48190000001</v>
      </c>
      <c r="G32" s="84">
        <f>126558.7226/2</f>
        <v>63279.361299999997</v>
      </c>
      <c r="H32" s="84">
        <f t="shared" si="0"/>
        <v>46825535.458674848</v>
      </c>
      <c r="I32" s="87">
        <v>26</v>
      </c>
      <c r="K32" s="100">
        <f>G32</f>
        <v>63279.361299999997</v>
      </c>
    </row>
    <row r="33" spans="1:11" ht="18" x14ac:dyDescent="0.35">
      <c r="A33" s="85">
        <v>27</v>
      </c>
      <c r="B33" s="84" t="s">
        <v>154</v>
      </c>
      <c r="C33" s="85">
        <v>20</v>
      </c>
      <c r="D33" s="86">
        <v>69473396.272650898</v>
      </c>
      <c r="E33" s="84">
        <v>3527977.9895000001</v>
      </c>
      <c r="F33" s="84">
        <v>351981.04960000003</v>
      </c>
      <c r="G33" s="84">
        <v>99262.821299999996</v>
      </c>
      <c r="H33" s="84">
        <f t="shared" si="0"/>
        <v>73452618.133050904</v>
      </c>
      <c r="I33" s="87">
        <v>27</v>
      </c>
    </row>
    <row r="34" spans="1:11" ht="18" x14ac:dyDescent="0.35">
      <c r="A34" s="85">
        <v>28</v>
      </c>
      <c r="B34" s="84" t="s">
        <v>155</v>
      </c>
      <c r="C34" s="85">
        <v>18</v>
      </c>
      <c r="D34" s="86">
        <v>69611030.851227835</v>
      </c>
      <c r="E34" s="84">
        <v>3534967.3089999999</v>
      </c>
      <c r="F34" s="84">
        <v>352678.36339999997</v>
      </c>
      <c r="G34" s="84">
        <v>99459.472099999999</v>
      </c>
      <c r="H34" s="84">
        <f t="shared" si="0"/>
        <v>73598135.995727837</v>
      </c>
      <c r="I34" s="87">
        <v>28</v>
      </c>
    </row>
    <row r="35" spans="1:11" ht="18" x14ac:dyDescent="0.35">
      <c r="A35" s="85">
        <v>29</v>
      </c>
      <c r="B35" s="84" t="s">
        <v>156</v>
      </c>
      <c r="C35" s="85">
        <v>30</v>
      </c>
      <c r="D35" s="86">
        <v>68199810.827968568</v>
      </c>
      <c r="E35" s="84">
        <v>3463303.1403999999</v>
      </c>
      <c r="F35" s="84">
        <v>345528.53730000003</v>
      </c>
      <c r="G35" s="84">
        <v>97443.136499999993</v>
      </c>
      <c r="H35" s="84">
        <f t="shared" si="0"/>
        <v>72106085.642168567</v>
      </c>
      <c r="I35" s="87">
        <v>29</v>
      </c>
    </row>
    <row r="36" spans="1:11" ht="18" x14ac:dyDescent="0.35">
      <c r="A36" s="85">
        <v>30</v>
      </c>
      <c r="B36" s="84" t="s">
        <v>157</v>
      </c>
      <c r="C36" s="85">
        <v>33</v>
      </c>
      <c r="D36" s="86">
        <v>83872367.413698509</v>
      </c>
      <c r="E36" s="84">
        <v>4259182.3925999999</v>
      </c>
      <c r="F36" s="84">
        <v>424932.21130000002</v>
      </c>
      <c r="G36" s="84">
        <v>119835.9123</v>
      </c>
      <c r="H36" s="84">
        <f t="shared" si="0"/>
        <v>88676317.929898515</v>
      </c>
      <c r="I36" s="87">
        <v>30</v>
      </c>
    </row>
    <row r="37" spans="1:11" ht="18" x14ac:dyDescent="0.35">
      <c r="A37" s="85">
        <v>31</v>
      </c>
      <c r="B37" s="84" t="s">
        <v>158</v>
      </c>
      <c r="C37" s="85">
        <v>17</v>
      </c>
      <c r="D37" s="86">
        <f>78087937.9827126/2</f>
        <v>39043968.991356298</v>
      </c>
      <c r="E37" s="84">
        <f>3965439.1641/2</f>
        <v>1982719.5820500001</v>
      </c>
      <c r="F37" s="84">
        <f>395625.8921/2</f>
        <v>197812.94605</v>
      </c>
      <c r="G37" s="84">
        <f>111571.1834/2</f>
        <v>55785.591699999997</v>
      </c>
      <c r="H37" s="84">
        <f t="shared" si="0"/>
        <v>41280287.111156307</v>
      </c>
      <c r="I37" s="87">
        <v>31</v>
      </c>
      <c r="K37" s="100">
        <f>G37</f>
        <v>55785.591699999997</v>
      </c>
    </row>
    <row r="38" spans="1:11" ht="18" x14ac:dyDescent="0.35">
      <c r="A38" s="85">
        <v>32</v>
      </c>
      <c r="B38" s="84" t="s">
        <v>159</v>
      </c>
      <c r="C38" s="85">
        <v>23</v>
      </c>
      <c r="D38" s="86">
        <v>80646362.504832938</v>
      </c>
      <c r="E38" s="84">
        <v>4095360.341</v>
      </c>
      <c r="F38" s="84">
        <v>408587.93219999998</v>
      </c>
      <c r="G38" s="84">
        <v>115226.6321</v>
      </c>
      <c r="H38" s="84">
        <f t="shared" si="0"/>
        <v>85265537.410132945</v>
      </c>
      <c r="I38" s="87">
        <v>32</v>
      </c>
    </row>
    <row r="39" spans="1:11" ht="18" x14ac:dyDescent="0.35">
      <c r="A39" s="85">
        <v>33</v>
      </c>
      <c r="B39" s="84" t="s">
        <v>160</v>
      </c>
      <c r="C39" s="85">
        <v>23</v>
      </c>
      <c r="D39" s="86">
        <v>82413261.183920667</v>
      </c>
      <c r="E39" s="84">
        <v>4185086.4805000001</v>
      </c>
      <c r="F39" s="84">
        <v>417539.77380000002</v>
      </c>
      <c r="G39" s="84">
        <v>117751.1574</v>
      </c>
      <c r="H39" s="84">
        <f t="shared" si="0"/>
        <v>87133638.595620662</v>
      </c>
      <c r="I39" s="87">
        <v>33</v>
      </c>
    </row>
    <row r="40" spans="1:11" ht="18" x14ac:dyDescent="0.35">
      <c r="A40" s="85">
        <v>34</v>
      </c>
      <c r="B40" s="84" t="s">
        <v>161</v>
      </c>
      <c r="C40" s="85">
        <v>16</v>
      </c>
      <c r="D40" s="86">
        <v>72032633.576232031</v>
      </c>
      <c r="E40" s="84">
        <v>3657940.4407000002</v>
      </c>
      <c r="F40" s="84">
        <v>364947.20760000002</v>
      </c>
      <c r="G40" s="84">
        <v>102919.4313</v>
      </c>
      <c r="H40" s="84">
        <f t="shared" si="0"/>
        <v>76158440.655832022</v>
      </c>
      <c r="I40" s="87">
        <v>34</v>
      </c>
    </row>
    <row r="41" spans="1:11" ht="18" x14ac:dyDescent="0.35">
      <c r="A41" s="85">
        <v>35</v>
      </c>
      <c r="B41" s="84" t="s">
        <v>162</v>
      </c>
      <c r="C41" s="85">
        <v>17</v>
      </c>
      <c r="D41" s="86">
        <v>74256398.424722165</v>
      </c>
      <c r="E41" s="84">
        <v>3770867.0263999999</v>
      </c>
      <c r="F41" s="84">
        <v>376213.72279999999</v>
      </c>
      <c r="G41" s="84">
        <v>106096.72199999999</v>
      </c>
      <c r="H41" s="84">
        <f t="shared" si="0"/>
        <v>78509575.895922169</v>
      </c>
      <c r="I41" s="87">
        <v>35</v>
      </c>
    </row>
    <row r="42" spans="1:11" ht="18" x14ac:dyDescent="0.35">
      <c r="A42" s="85">
        <v>36</v>
      </c>
      <c r="B42" s="84" t="s">
        <v>163</v>
      </c>
      <c r="C42" s="85">
        <v>14</v>
      </c>
      <c r="D42" s="86">
        <v>74414542.87089701</v>
      </c>
      <c r="E42" s="84">
        <v>3778897.8720999998</v>
      </c>
      <c r="F42" s="84">
        <v>377014.94839999999</v>
      </c>
      <c r="G42" s="84">
        <v>106322.677</v>
      </c>
      <c r="H42" s="84">
        <f t="shared" si="0"/>
        <v>78676778.368397012</v>
      </c>
      <c r="I42" s="87">
        <v>36</v>
      </c>
    </row>
    <row r="43" spans="1:11" ht="18" x14ac:dyDescent="0.35">
      <c r="A43" s="85">
        <v>37</v>
      </c>
      <c r="B43" s="84" t="s">
        <v>164</v>
      </c>
      <c r="C43" s="85"/>
      <c r="D43" s="84">
        <v>239351482.00999999</v>
      </c>
      <c r="E43" s="84">
        <f>E13+E27+E28+E29+E32+E37</f>
        <v>12154677.985649999</v>
      </c>
      <c r="F43" s="84">
        <f>F13+F27+F28+F29+F32+F37</f>
        <v>1212653.9134499999</v>
      </c>
      <c r="G43" s="84">
        <f>G13+G27+G28+G29+G32+G37</f>
        <v>341982.75414999999</v>
      </c>
      <c r="H43" s="84">
        <f>D43+E43+F43</f>
        <v>252718813.9091</v>
      </c>
      <c r="I43" s="87"/>
    </row>
    <row r="44" spans="1:11" ht="18" x14ac:dyDescent="0.35">
      <c r="A44" s="85"/>
      <c r="B44" s="89" t="s">
        <v>165</v>
      </c>
      <c r="C44" s="84"/>
      <c r="D44" s="90">
        <f>SUM(D7:D43)</f>
        <v>2835666518.652173</v>
      </c>
      <c r="E44" s="90">
        <f t="shared" ref="E44" si="1">SUM(E7:E43)</f>
        <v>143999999.99969998</v>
      </c>
      <c r="F44" s="90">
        <f>SUM(F7:F43)</f>
        <v>14366663.084099997</v>
      </c>
      <c r="G44" s="90">
        <f>SUM(G7:G43)</f>
        <v>4051569.0051000002</v>
      </c>
      <c r="H44" s="90">
        <f>SUM(H7:H43)</f>
        <v>2997742767.9869232</v>
      </c>
      <c r="I44" s="87"/>
    </row>
    <row r="45" spans="1:11" ht="18" x14ac:dyDescent="0.35">
      <c r="A45" s="159"/>
      <c r="B45" s="160"/>
      <c r="C45" s="160"/>
      <c r="D45" s="160"/>
      <c r="E45" s="160"/>
      <c r="F45" s="160"/>
      <c r="G45" s="160"/>
      <c r="H45" s="160"/>
      <c r="I45" s="161"/>
    </row>
    <row r="48" spans="1:11" x14ac:dyDescent="0.25">
      <c r="H48" s="4"/>
    </row>
  </sheetData>
  <mergeCells count="4">
    <mergeCell ref="A1:I1"/>
    <mergeCell ref="A2:I2"/>
    <mergeCell ref="A3:I3"/>
    <mergeCell ref="A45:I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0"/>
  <sheetViews>
    <sheetView topLeftCell="B25" workbookViewId="0">
      <selection activeCell="A3" sqref="A3:L45"/>
    </sheetView>
  </sheetViews>
  <sheetFormatPr defaultRowHeight="13.2" x14ac:dyDescent="0.25"/>
  <cols>
    <col min="2" max="2" width="24.109375" customWidth="1"/>
    <col min="4" max="4" width="25.5546875" customWidth="1"/>
    <col min="5" max="5" width="25.33203125" customWidth="1"/>
    <col min="6" max="7" width="23.44140625" customWidth="1"/>
    <col min="8" max="9" width="25.6640625" customWidth="1"/>
    <col min="10" max="10" width="25" customWidth="1"/>
    <col min="11" max="11" width="30.33203125" customWidth="1"/>
    <col min="12" max="12" width="8.44140625" customWidth="1"/>
  </cols>
  <sheetData>
    <row r="1" spans="1:12" ht="30" customHeight="1" x14ac:dyDescent="0.45">
      <c r="A1" s="152" t="s">
        <v>122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24.6" x14ac:dyDescent="0.4">
      <c r="A2" s="153" t="s">
        <v>123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36.75" customHeight="1" x14ac:dyDescent="0.35">
      <c r="A3" s="156" t="s">
        <v>215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8"/>
    </row>
    <row r="4" spans="1:12" ht="18" x14ac:dyDescent="0.35">
      <c r="A4" s="77"/>
      <c r="B4" s="102">
        <v>1</v>
      </c>
      <c r="C4" s="102">
        <v>2</v>
      </c>
      <c r="D4" s="102">
        <v>3</v>
      </c>
      <c r="E4" s="102">
        <v>4</v>
      </c>
      <c r="F4" s="102">
        <v>5</v>
      </c>
      <c r="G4" s="102">
        <v>6</v>
      </c>
      <c r="H4" s="102">
        <v>7</v>
      </c>
      <c r="I4" s="102">
        <v>8</v>
      </c>
      <c r="J4" s="102">
        <v>9</v>
      </c>
      <c r="K4" s="78" t="s">
        <v>216</v>
      </c>
      <c r="L4" s="79"/>
    </row>
    <row r="5" spans="1:12" ht="41.25" customHeight="1" x14ac:dyDescent="0.35">
      <c r="A5" s="80" t="s">
        <v>0</v>
      </c>
      <c r="B5" s="80" t="s">
        <v>20</v>
      </c>
      <c r="C5" s="81" t="s">
        <v>1</v>
      </c>
      <c r="D5" s="83" t="s">
        <v>7</v>
      </c>
      <c r="E5" s="103" t="s">
        <v>120</v>
      </c>
      <c r="F5" s="104" t="s">
        <v>97</v>
      </c>
      <c r="G5" s="82" t="s">
        <v>173</v>
      </c>
      <c r="H5" s="82" t="s">
        <v>174</v>
      </c>
      <c r="I5" s="81" t="s">
        <v>175</v>
      </c>
      <c r="J5" s="80" t="s">
        <v>176</v>
      </c>
      <c r="K5" s="103" t="s">
        <v>13</v>
      </c>
      <c r="L5" s="80" t="s">
        <v>0</v>
      </c>
    </row>
    <row r="6" spans="1:12" ht="18" x14ac:dyDescent="0.35">
      <c r="A6" s="84"/>
      <c r="B6" s="84"/>
      <c r="C6" s="84"/>
      <c r="D6" s="53" t="s">
        <v>110</v>
      </c>
      <c r="E6" s="53" t="s">
        <v>110</v>
      </c>
      <c r="F6" s="53" t="s">
        <v>110</v>
      </c>
      <c r="G6" s="53" t="s">
        <v>110</v>
      </c>
      <c r="H6" s="53" t="s">
        <v>110</v>
      </c>
      <c r="I6" s="53" t="s">
        <v>110</v>
      </c>
      <c r="J6" s="53" t="s">
        <v>110</v>
      </c>
      <c r="K6" s="53" t="s">
        <v>110</v>
      </c>
      <c r="L6" s="84"/>
    </row>
    <row r="7" spans="1:12" ht="18" x14ac:dyDescent="0.35">
      <c r="A7" s="85">
        <v>1</v>
      </c>
      <c r="B7" s="84" t="s">
        <v>177</v>
      </c>
      <c r="C7" s="85">
        <v>17</v>
      </c>
      <c r="D7" s="84">
        <v>1634932606.4690001</v>
      </c>
      <c r="E7" s="84">
        <f>-113650837.46</f>
        <v>-113650837.45999999</v>
      </c>
      <c r="F7" s="84">
        <v>2335973.6521999994</v>
      </c>
      <c r="G7" s="84">
        <v>8283246.9078999991</v>
      </c>
      <c r="H7" s="84">
        <v>51857295</v>
      </c>
      <c r="I7" s="84">
        <v>83024676.485500038</v>
      </c>
      <c r="J7" s="84">
        <v>992517977.58579993</v>
      </c>
      <c r="K7" s="84">
        <f>D7+E7+F7+G7+H7+I7+J7</f>
        <v>2659300938.6403999</v>
      </c>
      <c r="L7" s="87">
        <v>1</v>
      </c>
    </row>
    <row r="8" spans="1:12" ht="18" x14ac:dyDescent="0.35">
      <c r="A8" s="85">
        <v>2</v>
      </c>
      <c r="B8" s="84" t="s">
        <v>178</v>
      </c>
      <c r="C8" s="85">
        <v>21</v>
      </c>
      <c r="D8" s="84">
        <v>2062232831.9993002</v>
      </c>
      <c r="E8" s="84">
        <f>-140392210.98</f>
        <v>-140392210.97999999</v>
      </c>
      <c r="F8" s="84">
        <v>2946495.4952000007</v>
      </c>
      <c r="G8" s="84">
        <v>10448127.1348</v>
      </c>
      <c r="H8" s="84">
        <v>65410534</v>
      </c>
      <c r="I8" s="84">
        <v>104723713.4039</v>
      </c>
      <c r="J8" s="84">
        <v>1222941508.1918001</v>
      </c>
      <c r="K8" s="84">
        <f t="shared" ref="K8:K44" si="0">D8+E8+F8+G8+H8+I8+J8</f>
        <v>3328310999.2449999</v>
      </c>
      <c r="L8" s="87">
        <v>2</v>
      </c>
    </row>
    <row r="9" spans="1:12" ht="18" x14ac:dyDescent="0.35">
      <c r="A9" s="85">
        <v>3</v>
      </c>
      <c r="B9" s="88" t="s">
        <v>179</v>
      </c>
      <c r="C9" s="85">
        <v>31</v>
      </c>
      <c r="D9" s="84">
        <v>2746772949.7453003</v>
      </c>
      <c r="E9" s="84">
        <f>-207245644.78</f>
        <v>-207245644.78</v>
      </c>
      <c r="F9" s="84">
        <v>3924558.8561999993</v>
      </c>
      <c r="G9" s="84">
        <v>13916291.382900001</v>
      </c>
      <c r="H9" s="84">
        <v>87122992</v>
      </c>
      <c r="I9" s="84">
        <v>139485832.39999995</v>
      </c>
      <c r="J9" s="84">
        <v>1795768007.4123003</v>
      </c>
      <c r="K9" s="84">
        <f t="shared" si="0"/>
        <v>4579744987.0167007</v>
      </c>
      <c r="L9" s="87">
        <v>3</v>
      </c>
    </row>
    <row r="10" spans="1:12" ht="18" x14ac:dyDescent="0.35">
      <c r="A10" s="85">
        <v>4</v>
      </c>
      <c r="B10" s="84" t="s">
        <v>180</v>
      </c>
      <c r="C10" s="85">
        <v>21</v>
      </c>
      <c r="D10" s="84">
        <v>2073377356.8605995</v>
      </c>
      <c r="E10" s="84">
        <f>-140392210.98</f>
        <v>-140392210.97999999</v>
      </c>
      <c r="F10" s="84">
        <v>2962418.6693999991</v>
      </c>
      <c r="G10" s="84">
        <v>10504589.921500005</v>
      </c>
      <c r="H10" s="84">
        <v>65764020</v>
      </c>
      <c r="I10" s="84">
        <v>105289651.45400001</v>
      </c>
      <c r="J10" s="84">
        <v>1377788678.3847997</v>
      </c>
      <c r="K10" s="84">
        <f t="shared" si="0"/>
        <v>3495294504.3102989</v>
      </c>
      <c r="L10" s="87">
        <v>4</v>
      </c>
    </row>
    <row r="11" spans="1:12" ht="18" x14ac:dyDescent="0.35">
      <c r="A11" s="85">
        <v>5</v>
      </c>
      <c r="B11" s="84" t="s">
        <v>181</v>
      </c>
      <c r="C11" s="85">
        <v>20</v>
      </c>
      <c r="D11" s="84">
        <v>2353693595.5619001</v>
      </c>
      <c r="E11" s="84">
        <f>-133706867.6</f>
        <v>-133706867.59999999</v>
      </c>
      <c r="F11" s="84">
        <v>3362931.4157000007</v>
      </c>
      <c r="G11" s="84">
        <v>11924788.287899997</v>
      </c>
      <c r="H11" s="84">
        <v>74655176</v>
      </c>
      <c r="I11" s="84">
        <v>119524589.90929998</v>
      </c>
      <c r="J11" s="84">
        <v>1362966499.5271001</v>
      </c>
      <c r="K11" s="84">
        <f t="shared" si="0"/>
        <v>3792420713.1019001</v>
      </c>
      <c r="L11" s="87">
        <v>5</v>
      </c>
    </row>
    <row r="12" spans="1:12" ht="18" x14ac:dyDescent="0.35">
      <c r="A12" s="85">
        <v>6</v>
      </c>
      <c r="B12" s="84" t="s">
        <v>182</v>
      </c>
      <c r="C12" s="85">
        <v>8</v>
      </c>
      <c r="D12" s="84">
        <v>958039446.42400002</v>
      </c>
      <c r="E12" s="84">
        <f>-53482747.04</f>
        <v>-53482747.039999999</v>
      </c>
      <c r="F12" s="84">
        <v>1368836.1807000004</v>
      </c>
      <c r="G12" s="84">
        <v>4853825.3202999989</v>
      </c>
      <c r="H12" s="84">
        <v>30387390</v>
      </c>
      <c r="I12" s="84">
        <v>48650883.091499999</v>
      </c>
      <c r="J12" s="84">
        <v>639504998.87</v>
      </c>
      <c r="K12" s="84">
        <f t="shared" si="0"/>
        <v>1629322632.8464999</v>
      </c>
      <c r="L12" s="87">
        <v>6</v>
      </c>
    </row>
    <row r="13" spans="1:12" ht="18" x14ac:dyDescent="0.35">
      <c r="A13" s="85">
        <v>7</v>
      </c>
      <c r="B13" s="84" t="s">
        <v>183</v>
      </c>
      <c r="C13" s="85">
        <v>23</v>
      </c>
      <c r="D13" s="84">
        <v>2561182910.151</v>
      </c>
      <c r="E13" s="84">
        <f>-153762897.74</f>
        <v>-153762897.74000001</v>
      </c>
      <c r="F13" s="84">
        <v>3659389.8567999993</v>
      </c>
      <c r="G13" s="84">
        <v>12976015.2424</v>
      </c>
      <c r="H13" s="84">
        <f>81236387/2</f>
        <v>40618193.5</v>
      </c>
      <c r="I13" s="84">
        <v>130061252.49050005</v>
      </c>
      <c r="J13" s="84">
        <v>1396999618.9038002</v>
      </c>
      <c r="K13" s="84">
        <f t="shared" si="0"/>
        <v>3991734482.404501</v>
      </c>
      <c r="L13" s="87">
        <v>7</v>
      </c>
    </row>
    <row r="14" spans="1:12" ht="18" x14ac:dyDescent="0.35">
      <c r="A14" s="85">
        <v>8</v>
      </c>
      <c r="B14" s="84" t="s">
        <v>184</v>
      </c>
      <c r="C14" s="85">
        <v>27</v>
      </c>
      <c r="D14" s="84">
        <v>2780677115.1185999</v>
      </c>
      <c r="E14" s="84">
        <f>-180504271.26</f>
        <v>-180504271.25999999</v>
      </c>
      <c r="F14" s="84">
        <v>3973000.753000001</v>
      </c>
      <c r="G14" s="84">
        <v>14088063.951000009</v>
      </c>
      <c r="H14" s="84">
        <v>88198373</v>
      </c>
      <c r="I14" s="84">
        <v>141207543.95610005</v>
      </c>
      <c r="J14" s="84">
        <v>1542930799.0077996</v>
      </c>
      <c r="K14" s="84">
        <f t="shared" si="0"/>
        <v>4390570624.5264988</v>
      </c>
      <c r="L14" s="87">
        <v>8</v>
      </c>
    </row>
    <row r="15" spans="1:12" ht="36" x14ac:dyDescent="0.35">
      <c r="A15" s="85">
        <v>9</v>
      </c>
      <c r="B15" s="88" t="s">
        <v>185</v>
      </c>
      <c r="C15" s="85">
        <v>18</v>
      </c>
      <c r="D15" s="84">
        <v>1792614956.1720996</v>
      </c>
      <c r="E15" s="84">
        <f>-120336180.84</f>
        <v>-120336180.84</v>
      </c>
      <c r="F15" s="84">
        <v>2561268.4518999998</v>
      </c>
      <c r="G15" s="84">
        <v>9082131.1127999984</v>
      </c>
      <c r="H15" s="84">
        <v>56858713</v>
      </c>
      <c r="I15" s="84">
        <v>91032056.129299998</v>
      </c>
      <c r="J15" s="84">
        <v>1077561501.6371999</v>
      </c>
      <c r="K15" s="84">
        <f t="shared" si="0"/>
        <v>2909374445.6632996</v>
      </c>
      <c r="L15" s="87">
        <v>9</v>
      </c>
    </row>
    <row r="16" spans="1:12" ht="18" x14ac:dyDescent="0.35">
      <c r="A16" s="85">
        <v>10</v>
      </c>
      <c r="B16" s="84" t="s">
        <v>186</v>
      </c>
      <c r="C16" s="85">
        <v>25</v>
      </c>
      <c r="D16" s="84">
        <v>2296978965.9737997</v>
      </c>
      <c r="E16" s="84">
        <f>-167133584.5</f>
        <v>-167133584.5</v>
      </c>
      <c r="F16" s="84">
        <v>3281898.1791000012</v>
      </c>
      <c r="G16" s="84">
        <v>11637448.444000002</v>
      </c>
      <c r="H16" s="84">
        <v>72856284</v>
      </c>
      <c r="I16" s="84">
        <v>116644523.93299998</v>
      </c>
      <c r="J16" s="84">
        <v>1690253864.947</v>
      </c>
      <c r="K16" s="84">
        <f t="shared" si="0"/>
        <v>4024519400.9769001</v>
      </c>
      <c r="L16" s="87">
        <v>10</v>
      </c>
    </row>
    <row r="17" spans="1:12" ht="18" x14ac:dyDescent="0.35">
      <c r="A17" s="85">
        <v>11</v>
      </c>
      <c r="B17" s="84" t="s">
        <v>187</v>
      </c>
      <c r="C17" s="85">
        <v>13</v>
      </c>
      <c r="D17" s="84">
        <v>1326061015.2669001</v>
      </c>
      <c r="E17" s="84">
        <f>-100567892.3973</f>
        <v>-100567892.3973</v>
      </c>
      <c r="F17" s="84">
        <v>1894661.3335999993</v>
      </c>
      <c r="G17" s="84">
        <v>6718375.277900001</v>
      </c>
      <c r="H17" s="84">
        <v>42060412</v>
      </c>
      <c r="I17" s="84">
        <v>67339648.348199993</v>
      </c>
      <c r="J17" s="84">
        <v>808066663.8858999</v>
      </c>
      <c r="K17" s="84">
        <f t="shared" si="0"/>
        <v>2151572883.7151999</v>
      </c>
      <c r="L17" s="87">
        <v>11</v>
      </c>
    </row>
    <row r="18" spans="1:12" ht="18" x14ac:dyDescent="0.35">
      <c r="A18" s="85">
        <v>12</v>
      </c>
      <c r="B18" s="84" t="s">
        <v>188</v>
      </c>
      <c r="C18" s="85">
        <v>18</v>
      </c>
      <c r="D18" s="84">
        <v>1757499806.9126999</v>
      </c>
      <c r="E18" s="84">
        <f>-120336180.84</f>
        <v>-120336180.84</v>
      </c>
      <c r="F18" s="84">
        <v>2511096.3148999996</v>
      </c>
      <c r="G18" s="84">
        <v>8904223.1975999996</v>
      </c>
      <c r="H18" s="84">
        <v>55744919</v>
      </c>
      <c r="I18" s="84">
        <v>89248848.738500029</v>
      </c>
      <c r="J18" s="84">
        <v>1197088693.4354999</v>
      </c>
      <c r="K18" s="84">
        <f t="shared" si="0"/>
        <v>2990661406.7592001</v>
      </c>
      <c r="L18" s="87">
        <v>12</v>
      </c>
    </row>
    <row r="19" spans="1:12" ht="18" x14ac:dyDescent="0.35">
      <c r="A19" s="85">
        <v>13</v>
      </c>
      <c r="B19" s="84" t="s">
        <v>189</v>
      </c>
      <c r="C19" s="85">
        <v>16</v>
      </c>
      <c r="D19" s="84">
        <v>1395518581.2753003</v>
      </c>
      <c r="E19" s="84">
        <f>-106965494.08</f>
        <v>-106965494.08</v>
      </c>
      <c r="F19" s="84">
        <v>1993901.5368999997</v>
      </c>
      <c r="G19" s="84">
        <v>7070276.1246999986</v>
      </c>
      <c r="H19" s="84">
        <v>44263488</v>
      </c>
      <c r="I19" s="84">
        <v>70866822.449699998</v>
      </c>
      <c r="J19" s="84">
        <v>950112945.84759986</v>
      </c>
      <c r="K19" s="84">
        <f t="shared" si="0"/>
        <v>2362860521.1542006</v>
      </c>
      <c r="L19" s="87">
        <v>13</v>
      </c>
    </row>
    <row r="20" spans="1:12" ht="18" x14ac:dyDescent="0.35">
      <c r="A20" s="85">
        <v>14</v>
      </c>
      <c r="B20" s="84" t="s">
        <v>190</v>
      </c>
      <c r="C20" s="85">
        <v>17</v>
      </c>
      <c r="D20" s="84">
        <v>1785645932.5763001</v>
      </c>
      <c r="E20" s="84">
        <f>-113650837.46</f>
        <v>-113650837.45999999</v>
      </c>
      <c r="F20" s="84">
        <v>2551311.1879000007</v>
      </c>
      <c r="G20" s="84">
        <v>9046823.1482000053</v>
      </c>
      <c r="H20" s="84">
        <v>56637665</v>
      </c>
      <c r="I20" s="84">
        <v>90678157.181099996</v>
      </c>
      <c r="J20" s="84">
        <v>1095747888.7530999</v>
      </c>
      <c r="K20" s="84">
        <f t="shared" si="0"/>
        <v>2926656940.3866</v>
      </c>
      <c r="L20" s="87">
        <v>14</v>
      </c>
    </row>
    <row r="21" spans="1:12" ht="18" x14ac:dyDescent="0.35">
      <c r="A21" s="85">
        <v>15</v>
      </c>
      <c r="B21" s="84" t="s">
        <v>191</v>
      </c>
      <c r="C21" s="85">
        <v>11</v>
      </c>
      <c r="D21" s="84">
        <v>1223525840.1438003</v>
      </c>
      <c r="E21" s="84">
        <f>-73538777.18</f>
        <v>-73538777.180000007</v>
      </c>
      <c r="F21" s="84">
        <v>1748160.2079999994</v>
      </c>
      <c r="G21" s="84">
        <v>6198889.5395999998</v>
      </c>
      <c r="H21" s="84">
        <v>38808169</v>
      </c>
      <c r="I21" s="84">
        <v>62132736.6325</v>
      </c>
      <c r="J21" s="84">
        <v>736111367.89950001</v>
      </c>
      <c r="K21" s="84">
        <f t="shared" si="0"/>
        <v>1994986386.2434001</v>
      </c>
      <c r="L21" s="87">
        <v>15</v>
      </c>
    </row>
    <row r="22" spans="1:12" ht="18" x14ac:dyDescent="0.35">
      <c r="A22" s="85">
        <v>16</v>
      </c>
      <c r="B22" s="84" t="s">
        <v>192</v>
      </c>
      <c r="C22" s="85">
        <v>27</v>
      </c>
      <c r="D22" s="84">
        <v>2393162763.2733002</v>
      </c>
      <c r="E22" s="84">
        <f>-180504271.26</f>
        <v>-180504271.25999999</v>
      </c>
      <c r="F22" s="84">
        <v>3419324.5266999998</v>
      </c>
      <c r="G22" s="84">
        <v>12124755.467299998</v>
      </c>
      <c r="H22" s="84">
        <v>75907074</v>
      </c>
      <c r="I22" s="84">
        <v>121528901.81030004</v>
      </c>
      <c r="J22" s="84">
        <v>1494619870.2268999</v>
      </c>
      <c r="K22" s="84">
        <f t="shared" si="0"/>
        <v>3920258418.0444994</v>
      </c>
      <c r="L22" s="87">
        <v>16</v>
      </c>
    </row>
    <row r="23" spans="1:12" ht="18" x14ac:dyDescent="0.35">
      <c r="A23" s="85">
        <v>17</v>
      </c>
      <c r="B23" s="84" t="s">
        <v>193</v>
      </c>
      <c r="C23" s="85">
        <v>27</v>
      </c>
      <c r="D23" s="84">
        <v>2514242806.7114005</v>
      </c>
      <c r="E23" s="84">
        <f>-180504271.26</f>
        <v>-180504271.25999999</v>
      </c>
      <c r="F23" s="84">
        <v>3592322.3554999991</v>
      </c>
      <c r="G23" s="84">
        <v>12738197.202999996</v>
      </c>
      <c r="H23" s="84">
        <v>79747528</v>
      </c>
      <c r="I23" s="84">
        <v>127677553.68460003</v>
      </c>
      <c r="J23" s="84">
        <v>1558200841.9276998</v>
      </c>
      <c r="K23" s="84">
        <f t="shared" si="0"/>
        <v>4115694978.622201</v>
      </c>
      <c r="L23" s="87">
        <v>17</v>
      </c>
    </row>
    <row r="24" spans="1:12" ht="18" x14ac:dyDescent="0.35">
      <c r="A24" s="85">
        <v>18</v>
      </c>
      <c r="B24" s="84" t="s">
        <v>194</v>
      </c>
      <c r="C24" s="85">
        <v>23</v>
      </c>
      <c r="D24" s="84">
        <v>2827504109.8916001</v>
      </c>
      <c r="E24" s="84">
        <f>-153762897.74</f>
        <v>-153762897.74000001</v>
      </c>
      <c r="F24" s="84">
        <v>4039906.6458999994</v>
      </c>
      <c r="G24" s="84">
        <v>14325308.934600005</v>
      </c>
      <c r="H24" s="84">
        <v>89683646</v>
      </c>
      <c r="I24" s="84">
        <v>143585498.91040003</v>
      </c>
      <c r="J24" s="84">
        <v>1848413681.9678998</v>
      </c>
      <c r="K24" s="84">
        <f t="shared" si="0"/>
        <v>4773789254.6103992</v>
      </c>
      <c r="L24" s="87">
        <v>18</v>
      </c>
    </row>
    <row r="25" spans="1:12" ht="18" x14ac:dyDescent="0.35">
      <c r="A25" s="85">
        <v>19</v>
      </c>
      <c r="B25" s="84" t="s">
        <v>195</v>
      </c>
      <c r="C25" s="85">
        <v>44</v>
      </c>
      <c r="D25" s="84">
        <v>4501628876.2475996</v>
      </c>
      <c r="E25" s="84">
        <f>-806819553.759999</f>
        <v>-806819553.75999904</v>
      </c>
      <c r="F25" s="84">
        <v>6431877.6238999991</v>
      </c>
      <c r="G25" s="84">
        <v>22807119.585500002</v>
      </c>
      <c r="H25" s="84">
        <v>142784046</v>
      </c>
      <c r="I25" s="84">
        <v>228600420.36619985</v>
      </c>
      <c r="J25" s="84">
        <v>2968201637.8649993</v>
      </c>
      <c r="K25" s="84">
        <f t="shared" si="0"/>
        <v>7063634423.9281998</v>
      </c>
      <c r="L25" s="87">
        <v>19</v>
      </c>
    </row>
    <row r="26" spans="1:12" ht="18" x14ac:dyDescent="0.35">
      <c r="A26" s="85">
        <v>20</v>
      </c>
      <c r="B26" s="84" t="s">
        <v>196</v>
      </c>
      <c r="C26" s="85">
        <v>34</v>
      </c>
      <c r="D26" s="84">
        <v>3427166687.655201</v>
      </c>
      <c r="E26" s="84">
        <f>-227301674.92</f>
        <v>-227301674.91999999</v>
      </c>
      <c r="F26" s="84">
        <v>4896697.9148999956</v>
      </c>
      <c r="G26" s="84">
        <v>17363448.349900007</v>
      </c>
      <c r="H26" s="84">
        <v>108703926</v>
      </c>
      <c r="I26" s="84">
        <v>174037391.13040003</v>
      </c>
      <c r="J26" s="84">
        <v>2000308075.9427001</v>
      </c>
      <c r="K26" s="84">
        <f t="shared" si="0"/>
        <v>5505174552.073101</v>
      </c>
      <c r="L26" s="87">
        <v>20</v>
      </c>
    </row>
    <row r="27" spans="1:12" ht="18" x14ac:dyDescent="0.35">
      <c r="A27" s="85">
        <v>21</v>
      </c>
      <c r="B27" s="84" t="s">
        <v>197</v>
      </c>
      <c r="C27" s="85">
        <v>21</v>
      </c>
      <c r="D27" s="84">
        <v>2162910049.0216999</v>
      </c>
      <c r="E27" s="84">
        <f>-140392210.98</f>
        <v>-140392210.97999999</v>
      </c>
      <c r="F27" s="84">
        <v>3090341.9913000003</v>
      </c>
      <c r="G27" s="84">
        <v>10958199.686300006</v>
      </c>
      <c r="H27" s="84">
        <f>68603846/2</f>
        <v>34301923</v>
      </c>
      <c r="I27" s="84">
        <v>109836274.82650003</v>
      </c>
      <c r="J27" s="84">
        <v>1201882017.7616999</v>
      </c>
      <c r="K27" s="84">
        <f t="shared" si="0"/>
        <v>3382586595.3074999</v>
      </c>
      <c r="L27" s="87">
        <v>21</v>
      </c>
    </row>
    <row r="28" spans="1:12" ht="18" x14ac:dyDescent="0.35">
      <c r="A28" s="85">
        <v>22</v>
      </c>
      <c r="B28" s="84" t="s">
        <v>198</v>
      </c>
      <c r="C28" s="85">
        <v>21</v>
      </c>
      <c r="D28" s="84">
        <v>2235525965.6124001</v>
      </c>
      <c r="E28" s="84">
        <f>-140392210.98</f>
        <v>-140392210.97999999</v>
      </c>
      <c r="F28" s="84">
        <v>3194094.8110999996</v>
      </c>
      <c r="G28" s="84">
        <v>11326102.047900001</v>
      </c>
      <c r="H28" s="84">
        <f>70907099/2</f>
        <v>35453549.5</v>
      </c>
      <c r="I28" s="84">
        <v>113523835.377</v>
      </c>
      <c r="J28" s="84">
        <v>1222570632.8929002</v>
      </c>
      <c r="K28" s="84">
        <f t="shared" si="0"/>
        <v>3481201969.2613001</v>
      </c>
      <c r="L28" s="87">
        <v>22</v>
      </c>
    </row>
    <row r="29" spans="1:12" ht="18" x14ac:dyDescent="0.35">
      <c r="A29" s="85">
        <v>23</v>
      </c>
      <c r="B29" s="84" t="s">
        <v>199</v>
      </c>
      <c r="C29" s="85">
        <v>16</v>
      </c>
      <c r="D29" s="84">
        <v>1581868780.6597002</v>
      </c>
      <c r="E29" s="84">
        <f>-106965494.08</f>
        <v>-106965494.08</v>
      </c>
      <c r="F29" s="84">
        <v>2260156.6439999999</v>
      </c>
      <c r="G29" s="84">
        <v>8014403.5507000005</v>
      </c>
      <c r="H29" s="84">
        <f>50174198/2</f>
        <v>25087099</v>
      </c>
      <c r="I29" s="84">
        <v>80330004.57479997</v>
      </c>
      <c r="J29" s="84">
        <v>928486288.21389997</v>
      </c>
      <c r="K29" s="84">
        <f t="shared" si="0"/>
        <v>2519081238.5631003</v>
      </c>
      <c r="L29" s="87">
        <v>23</v>
      </c>
    </row>
    <row r="30" spans="1:12" ht="18" x14ac:dyDescent="0.35">
      <c r="A30" s="85">
        <v>24</v>
      </c>
      <c r="B30" s="84" t="s">
        <v>200</v>
      </c>
      <c r="C30" s="85">
        <v>20</v>
      </c>
      <c r="D30" s="84">
        <v>2694707437.9541006</v>
      </c>
      <c r="E30" s="84">
        <f>-133706867.6</f>
        <v>-133706867.59999999</v>
      </c>
      <c r="F30" s="84">
        <v>3850168.2276999992</v>
      </c>
      <c r="G30" s="84">
        <v>13652505.898</v>
      </c>
      <c r="H30" s="84">
        <v>85471559</v>
      </c>
      <c r="I30" s="84">
        <v>136841856.58419997</v>
      </c>
      <c r="J30" s="84">
        <v>6666579762.7684994</v>
      </c>
      <c r="K30" s="84">
        <f t="shared" si="0"/>
        <v>9467396422.8325005</v>
      </c>
      <c r="L30" s="87">
        <v>24</v>
      </c>
    </row>
    <row r="31" spans="1:12" ht="36" x14ac:dyDescent="0.35">
      <c r="A31" s="85">
        <v>25</v>
      </c>
      <c r="B31" s="88" t="s">
        <v>201</v>
      </c>
      <c r="C31" s="85">
        <v>13</v>
      </c>
      <c r="D31" s="84">
        <v>1411299594.3510001</v>
      </c>
      <c r="E31" s="84">
        <f>-86909463.94</f>
        <v>-86909463.939999998</v>
      </c>
      <c r="F31" s="84">
        <v>2016449.2744000002</v>
      </c>
      <c r="G31" s="84">
        <v>7150229.2844000002</v>
      </c>
      <c r="H31" s="84">
        <v>44764036</v>
      </c>
      <c r="I31" s="84">
        <v>71668209.3081</v>
      </c>
      <c r="J31" s="84">
        <v>729518830.77700007</v>
      </c>
      <c r="K31" s="84">
        <f t="shared" si="0"/>
        <v>2179507885.0549002</v>
      </c>
      <c r="L31" s="87">
        <v>25</v>
      </c>
    </row>
    <row r="32" spans="1:12" ht="18" x14ac:dyDescent="0.35">
      <c r="A32" s="85">
        <v>26</v>
      </c>
      <c r="B32" s="84" t="s">
        <v>202</v>
      </c>
      <c r="C32" s="85">
        <v>25</v>
      </c>
      <c r="D32" s="84">
        <v>2612206685.5385995</v>
      </c>
      <c r="E32" s="84">
        <f>-167133584.5</f>
        <v>-167133584.5</v>
      </c>
      <c r="F32" s="84">
        <v>3732292.0640000016</v>
      </c>
      <c r="G32" s="84">
        <v>13234522.8573</v>
      </c>
      <c r="H32" s="84">
        <f>82854776/2</f>
        <v>41427388</v>
      </c>
      <c r="I32" s="84">
        <v>132652327.14920004</v>
      </c>
      <c r="J32" s="84">
        <v>1474918064.2719002</v>
      </c>
      <c r="K32" s="84">
        <f t="shared" si="0"/>
        <v>4111037695.3809996</v>
      </c>
      <c r="L32" s="87">
        <v>26</v>
      </c>
    </row>
    <row r="33" spans="1:12" ht="18" x14ac:dyDescent="0.35">
      <c r="A33" s="85">
        <v>27</v>
      </c>
      <c r="B33" s="84" t="s">
        <v>203</v>
      </c>
      <c r="C33" s="85">
        <v>20</v>
      </c>
      <c r="D33" s="84">
        <v>1863538804.6749997</v>
      </c>
      <c r="E33" s="84">
        <f>-133706867.6</f>
        <v>-133706867.59999999</v>
      </c>
      <c r="F33" s="84">
        <v>2662603.6634</v>
      </c>
      <c r="G33" s="84">
        <v>9441460.755300004</v>
      </c>
      <c r="H33" s="84">
        <v>59108296</v>
      </c>
      <c r="I33" s="84">
        <v>94633690.565599993</v>
      </c>
      <c r="J33" s="84">
        <v>1373279333.7404001</v>
      </c>
      <c r="K33" s="84">
        <f t="shared" si="0"/>
        <v>3268957321.7996998</v>
      </c>
      <c r="L33" s="87">
        <v>27</v>
      </c>
    </row>
    <row r="34" spans="1:12" ht="18" x14ac:dyDescent="0.35">
      <c r="A34" s="85">
        <v>28</v>
      </c>
      <c r="B34" s="84" t="s">
        <v>204</v>
      </c>
      <c r="C34" s="85">
        <v>18</v>
      </c>
      <c r="D34" s="84">
        <v>1779797435.5639002</v>
      </c>
      <c r="E34" s="84">
        <f>-120336180.84</f>
        <v>-120336180.84</v>
      </c>
      <c r="F34" s="84">
        <v>2542954.9200000009</v>
      </c>
      <c r="G34" s="84">
        <v>9017192.2355000004</v>
      </c>
      <c r="H34" s="84">
        <v>56452161</v>
      </c>
      <c r="I34" s="84">
        <v>90381160.491199985</v>
      </c>
      <c r="J34" s="84">
        <v>1125392468.0740001</v>
      </c>
      <c r="K34" s="84">
        <f t="shared" si="0"/>
        <v>2943247191.4446006</v>
      </c>
      <c r="L34" s="87">
        <v>28</v>
      </c>
    </row>
    <row r="35" spans="1:12" ht="18" x14ac:dyDescent="0.35">
      <c r="A35" s="85">
        <v>29</v>
      </c>
      <c r="B35" s="84" t="s">
        <v>205</v>
      </c>
      <c r="C35" s="85">
        <v>30</v>
      </c>
      <c r="D35" s="84">
        <v>2410780625.4772997</v>
      </c>
      <c r="E35" s="84">
        <f>-200560301.4</f>
        <v>-200560301.40000001</v>
      </c>
      <c r="F35" s="84">
        <v>3444496.7334999987</v>
      </c>
      <c r="G35" s="84">
        <v>12214014.866700001</v>
      </c>
      <c r="H35" s="84">
        <v>76465882</v>
      </c>
      <c r="I35" s="84">
        <v>122423567.01190004</v>
      </c>
      <c r="J35" s="84">
        <v>1548494466.1171</v>
      </c>
      <c r="K35" s="84">
        <f t="shared" si="0"/>
        <v>3973262750.8064995</v>
      </c>
      <c r="L35" s="87">
        <v>29</v>
      </c>
    </row>
    <row r="36" spans="1:12" ht="18" x14ac:dyDescent="0.35">
      <c r="A36" s="85">
        <v>30</v>
      </c>
      <c r="B36" s="84" t="s">
        <v>206</v>
      </c>
      <c r="C36" s="85">
        <v>33</v>
      </c>
      <c r="D36" s="84">
        <v>3041011659.4896998</v>
      </c>
      <c r="E36" s="84">
        <f>-220616331.54</f>
        <v>-220616331.53999999</v>
      </c>
      <c r="F36" s="84">
        <v>4344963.8745000008</v>
      </c>
      <c r="G36" s="84">
        <v>15407026.763700003</v>
      </c>
      <c r="H36" s="84">
        <v>96455744</v>
      </c>
      <c r="I36" s="84">
        <v>154427777.76800004</v>
      </c>
      <c r="J36" s="84">
        <v>2584549970.9166002</v>
      </c>
      <c r="K36" s="84">
        <f t="shared" si="0"/>
        <v>5675580811.2725</v>
      </c>
      <c r="L36" s="87">
        <v>30</v>
      </c>
    </row>
    <row r="37" spans="1:12" ht="18" x14ac:dyDescent="0.35">
      <c r="A37" s="85">
        <v>31</v>
      </c>
      <c r="B37" s="84" t="s">
        <v>207</v>
      </c>
      <c r="C37" s="85">
        <v>17</v>
      </c>
      <c r="D37" s="84">
        <v>1906306857.6691003</v>
      </c>
      <c r="E37" s="84">
        <f>-113650837.46</f>
        <v>-113650837.45999999</v>
      </c>
      <c r="F37" s="84">
        <v>2723710.185099999</v>
      </c>
      <c r="G37" s="84">
        <v>9658141.4558999967</v>
      </c>
      <c r="H37" s="84">
        <f>60464825/2</f>
        <v>30232412.5</v>
      </c>
      <c r="I37" s="84">
        <v>96805525.508399978</v>
      </c>
      <c r="J37" s="84">
        <v>1046604595.7278</v>
      </c>
      <c r="K37" s="84">
        <f t="shared" si="0"/>
        <v>2978680405.5863004</v>
      </c>
      <c r="L37" s="87">
        <v>31</v>
      </c>
    </row>
    <row r="38" spans="1:12" ht="18" x14ac:dyDescent="0.35">
      <c r="A38" s="85">
        <v>32</v>
      </c>
      <c r="B38" s="84" t="s">
        <v>208</v>
      </c>
      <c r="C38" s="85">
        <v>23</v>
      </c>
      <c r="D38" s="84">
        <v>2362973029.8225994</v>
      </c>
      <c r="E38" s="84">
        <f>-153762897.74</f>
        <v>-153762897.74000001</v>
      </c>
      <c r="F38" s="84">
        <v>3376189.7687999993</v>
      </c>
      <c r="G38" s="84">
        <v>11971801.751900006</v>
      </c>
      <c r="H38" s="84">
        <v>74949507</v>
      </c>
      <c r="I38" s="84">
        <v>119995815.46589996</v>
      </c>
      <c r="J38" s="84">
        <v>2389534554.8015995</v>
      </c>
      <c r="K38" s="84">
        <f t="shared" si="0"/>
        <v>4809038000.8707991</v>
      </c>
      <c r="L38" s="87">
        <v>32</v>
      </c>
    </row>
    <row r="39" spans="1:12" ht="18" x14ac:dyDescent="0.35">
      <c r="A39" s="85">
        <v>33</v>
      </c>
      <c r="B39" s="84" t="s">
        <v>209</v>
      </c>
      <c r="C39" s="85">
        <v>23</v>
      </c>
      <c r="D39" s="84">
        <v>2379879572.3905997</v>
      </c>
      <c r="E39" s="84">
        <f>-153762897.74</f>
        <v>-153762897.74000001</v>
      </c>
      <c r="F39" s="84">
        <v>3400345.6500999997</v>
      </c>
      <c r="G39" s="84">
        <v>12057457.311000001</v>
      </c>
      <c r="H39" s="84">
        <v>75485753</v>
      </c>
      <c r="I39" s="84">
        <v>120854358.63869996</v>
      </c>
      <c r="J39" s="84">
        <v>1341352223.1787</v>
      </c>
      <c r="K39" s="84">
        <f t="shared" si="0"/>
        <v>3779266812.4290996</v>
      </c>
      <c r="L39" s="87">
        <v>33</v>
      </c>
    </row>
    <row r="40" spans="1:12" ht="18" x14ac:dyDescent="0.35">
      <c r="A40" s="85">
        <v>34</v>
      </c>
      <c r="B40" s="84" t="s">
        <v>210</v>
      </c>
      <c r="C40" s="85">
        <v>16</v>
      </c>
      <c r="D40" s="84">
        <v>1783727701.5396001</v>
      </c>
      <c r="E40" s="84">
        <f>-106965494.08</f>
        <v>-106965494.08</v>
      </c>
      <c r="F40" s="84">
        <v>2548570.4407000002</v>
      </c>
      <c r="G40" s="84">
        <v>9037104.5933999978</v>
      </c>
      <c r="H40" s="84">
        <v>56576824</v>
      </c>
      <c r="I40" s="84">
        <v>90580746.125399962</v>
      </c>
      <c r="J40" s="84">
        <v>916200506.20450008</v>
      </c>
      <c r="K40" s="84">
        <f t="shared" si="0"/>
        <v>2751705958.8236003</v>
      </c>
      <c r="L40" s="87">
        <v>34</v>
      </c>
    </row>
    <row r="41" spans="1:12" ht="18" x14ac:dyDescent="0.35">
      <c r="A41" s="85">
        <v>35</v>
      </c>
      <c r="B41" s="84" t="s">
        <v>211</v>
      </c>
      <c r="C41" s="85">
        <v>17</v>
      </c>
      <c r="D41" s="84">
        <v>1793381882.6691003</v>
      </c>
      <c r="E41" s="84">
        <f>-113650837.46</f>
        <v>-113650837.45999999</v>
      </c>
      <c r="F41" s="84">
        <v>2562364.2282000002</v>
      </c>
      <c r="G41" s="84">
        <v>9086016.6806000024</v>
      </c>
      <c r="H41" s="84">
        <v>56883036</v>
      </c>
      <c r="I41" s="84">
        <v>91071001.969500005</v>
      </c>
      <c r="J41" s="84">
        <v>963964446.13500011</v>
      </c>
      <c r="K41" s="84">
        <f t="shared" si="0"/>
        <v>2803297910.2224002</v>
      </c>
      <c r="L41" s="87">
        <v>35</v>
      </c>
    </row>
    <row r="42" spans="1:12" ht="18" x14ac:dyDescent="0.35">
      <c r="A42" s="85">
        <v>36</v>
      </c>
      <c r="B42" s="84" t="s">
        <v>212</v>
      </c>
      <c r="C42" s="85">
        <v>14</v>
      </c>
      <c r="D42" s="84">
        <v>1620440415.2286003</v>
      </c>
      <c r="E42" s="84">
        <f>-93594807.32</f>
        <v>-93594807.319999993</v>
      </c>
      <c r="F42" s="84">
        <v>2315267.3693000004</v>
      </c>
      <c r="G42" s="84">
        <v>8209823.4542999994</v>
      </c>
      <c r="H42" s="84">
        <v>51397627</v>
      </c>
      <c r="I42" s="84">
        <v>82288738.206100017</v>
      </c>
      <c r="J42" s="84">
        <v>930934684.57800007</v>
      </c>
      <c r="K42" s="84">
        <f t="shared" si="0"/>
        <v>2601991748.5163002</v>
      </c>
      <c r="L42" s="87">
        <v>36</v>
      </c>
    </row>
    <row r="43" spans="1:12" ht="18" x14ac:dyDescent="0.35">
      <c r="A43" s="85">
        <v>37</v>
      </c>
      <c r="B43" s="84" t="s">
        <v>213</v>
      </c>
      <c r="C43" s="85">
        <v>6</v>
      </c>
      <c r="D43" s="84">
        <v>715698754.80009997</v>
      </c>
      <c r="E43" s="84">
        <f>-40112060.28</f>
        <v>-40112060.280000001</v>
      </c>
      <c r="F43" s="84">
        <v>1022582.4769</v>
      </c>
      <c r="G43" s="84">
        <v>3626026.8307000003</v>
      </c>
      <c r="H43" s="84">
        <v>22700752</v>
      </c>
      <c r="I43" s="84">
        <v>36344407.924400017</v>
      </c>
      <c r="J43" s="84">
        <v>3318709931.5189004</v>
      </c>
      <c r="K43" s="84">
        <f t="shared" si="0"/>
        <v>4057990395.2710004</v>
      </c>
      <c r="L43" s="87">
        <v>37</v>
      </c>
    </row>
    <row r="44" spans="1:12" ht="18" x14ac:dyDescent="0.35">
      <c r="A44" s="85">
        <v>38</v>
      </c>
      <c r="B44" s="84" t="s">
        <v>164</v>
      </c>
      <c r="C44" s="85"/>
      <c r="D44" s="110">
        <v>0</v>
      </c>
      <c r="E44" s="110">
        <v>0</v>
      </c>
      <c r="F44" s="110">
        <v>0</v>
      </c>
      <c r="G44" s="110">
        <v>0</v>
      </c>
      <c r="H44" s="110">
        <f>H13+H27+H28+H29+H32+H37</f>
        <v>207120565.5</v>
      </c>
      <c r="I44" s="110">
        <v>0</v>
      </c>
      <c r="J44" s="110">
        <v>0</v>
      </c>
      <c r="K44" s="84">
        <f t="shared" si="0"/>
        <v>207120565.5</v>
      </c>
      <c r="L44" s="87">
        <v>38</v>
      </c>
    </row>
    <row r="45" spans="1:12" ht="18.600000000000001" thickBot="1" x14ac:dyDescent="0.4">
      <c r="A45" s="85"/>
      <c r="B45" s="89" t="s">
        <v>214</v>
      </c>
      <c r="C45" s="84"/>
      <c r="D45" s="105">
        <f>SUM(D7:D44)</f>
        <v>78768514406.892792</v>
      </c>
      <c r="E45" s="105">
        <f t="shared" ref="E45:K45" si="1">SUM(E7:E44)</f>
        <v>-5700778649.6172981</v>
      </c>
      <c r="F45" s="105">
        <f t="shared" si="1"/>
        <v>112543583.48139997</v>
      </c>
      <c r="G45" s="105">
        <f t="shared" si="1"/>
        <v>399073974.55739999</v>
      </c>
      <c r="H45" s="105">
        <f t="shared" si="1"/>
        <v>2498403958</v>
      </c>
      <c r="I45" s="105">
        <f t="shared" si="1"/>
        <v>3999999999.9999003</v>
      </c>
      <c r="J45" s="105">
        <f t="shared" si="1"/>
        <v>57519077899.897896</v>
      </c>
      <c r="K45" s="105">
        <f t="shared" si="1"/>
        <v>137596835173.2121</v>
      </c>
      <c r="L45" s="87"/>
    </row>
    <row r="46" spans="1:12" ht="18" x14ac:dyDescent="0.35">
      <c r="A46" s="106"/>
      <c r="B46" s="107"/>
      <c r="C46" s="107"/>
      <c r="D46" s="108"/>
      <c r="E46" s="107"/>
      <c r="F46" s="107"/>
      <c r="G46" s="107"/>
      <c r="H46" s="107"/>
      <c r="I46" s="107"/>
      <c r="J46" s="107"/>
      <c r="K46" s="107"/>
      <c r="L46" s="109"/>
    </row>
    <row r="47" spans="1:12" x14ac:dyDescent="0.25">
      <c r="E47" s="4"/>
      <c r="K47" s="100"/>
    </row>
    <row r="48" spans="1:12" x14ac:dyDescent="0.25">
      <c r="J48" s="4"/>
    </row>
    <row r="49" spans="11:11" x14ac:dyDescent="0.25">
      <c r="K49" s="4"/>
    </row>
    <row r="50" spans="11:11" x14ac:dyDescent="0.25">
      <c r="K50" s="4"/>
    </row>
  </sheetData>
  <mergeCells count="3">
    <mergeCell ref="A1:L1"/>
    <mergeCell ref="A2:L2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MONTHENTRY</vt:lpstr>
      <vt:lpstr>Sum &amp; FG</vt:lpstr>
      <vt:lpstr>SG Details</vt:lpstr>
      <vt:lpstr>Ecology States</vt:lpstr>
      <vt:lpstr>Sum LGCs</vt:lpstr>
      <vt:lpstr>acctmonth</vt:lpstr>
      <vt:lpstr>previuosmonth</vt:lpstr>
      <vt:lpstr>'SG Details'!Print_Area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cp:lastPrinted>2021-08-03T14:25:25Z</cp:lastPrinted>
  <dcterms:created xsi:type="dcterms:W3CDTF">2003-11-12T08:54:16Z</dcterms:created>
  <dcterms:modified xsi:type="dcterms:W3CDTF">2022-02-03T11:09:01Z</dcterms:modified>
</cp:coreProperties>
</file>